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95" windowWidth="15600" windowHeight="7875" tabRatio="626"/>
  </bookViews>
  <sheets>
    <sheet name="Other charges" sheetId="16" r:id="rId1"/>
    <sheet name="ND" sheetId="14" r:id="rId2"/>
    <sheet name="RV" sheetId="2" r:id="rId3"/>
    <sheet name="Tawang 2" sheetId="15" state="hidden" r:id="rId4"/>
    <sheet name="Tawang" sheetId="3" state="hidden" r:id="rId5"/>
    <sheet name="SF" sheetId="18" r:id="rId6"/>
    <sheet name="Cabins" sheetId="11" r:id="rId7"/>
    <sheet name="MB1" sheetId="4" r:id="rId8"/>
    <sheet name="MB2" sheetId="5" r:id="rId9"/>
    <sheet name="MB3" sheetId="6" r:id="rId10"/>
    <sheet name="MB4" sheetId="7" r:id="rId11"/>
    <sheet name="Manors parking" sheetId="19" r:id="rId12"/>
    <sheet name="Wharton" sheetId="8" r:id="rId13"/>
    <sheet name="Princetn" sheetId="13" r:id="rId14"/>
    <sheet name="Princeton" sheetId="12" state="hidden" r:id="rId15"/>
    <sheet name="Harvard" sheetId="10" r:id="rId16"/>
  </sheets>
  <externalReferences>
    <externalReference r:id="rId17"/>
    <externalReference r:id="rId18"/>
    <externalReference r:id="rId19"/>
  </externalReferences>
  <calcPr calcId="145621"/>
</workbook>
</file>

<file path=xl/calcChain.xml><?xml version="1.0" encoding="utf-8"?>
<calcChain xmlns="http://schemas.openxmlformats.org/spreadsheetml/2006/main">
  <c r="G12" i="19"/>
  <c r="G13"/>
  <c r="G14"/>
  <c r="G15"/>
  <c r="G16"/>
  <c r="G17"/>
  <c r="G18"/>
  <c r="G19"/>
  <c r="G20"/>
  <c r="G21"/>
  <c r="G22"/>
  <c r="G23"/>
  <c r="G24"/>
  <c r="G25"/>
  <c r="G26"/>
  <c r="G27"/>
  <c r="G28"/>
  <c r="G29"/>
  <c r="G11"/>
  <c r="I11"/>
  <c r="J11"/>
  <c r="H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J30"/>
  <c r="H19"/>
  <c r="H20"/>
  <c r="H21"/>
  <c r="H22"/>
  <c r="H23"/>
  <c r="H24"/>
  <c r="H25"/>
  <c r="H26"/>
  <c r="H28"/>
  <c r="H29"/>
  <c r="H13"/>
  <c r="H15"/>
  <c r="H17"/>
  <c r="E11" i="18"/>
  <c r="I11"/>
  <c r="J11"/>
  <c r="K11"/>
  <c r="E12"/>
  <c r="I12"/>
  <c r="J12"/>
  <c r="K12"/>
  <c r="E13"/>
  <c r="I13"/>
  <c r="J13"/>
  <c r="K13"/>
  <c r="J10" i="2"/>
  <c r="M11" i="14"/>
  <c r="J31" i="8"/>
  <c r="K31"/>
  <c r="L31"/>
  <c r="M31"/>
  <c r="O31"/>
  <c r="P31" s="1"/>
  <c r="J32"/>
  <c r="K32"/>
  <c r="L32"/>
  <c r="M32"/>
  <c r="O32"/>
  <c r="P32"/>
  <c r="J33"/>
  <c r="K33"/>
  <c r="L33"/>
  <c r="M33"/>
  <c r="O33"/>
  <c r="P33"/>
  <c r="J34"/>
  <c r="K34"/>
  <c r="L34"/>
  <c r="M34"/>
  <c r="O34"/>
  <c r="P34"/>
  <c r="J35"/>
  <c r="K35"/>
  <c r="L35"/>
  <c r="M35"/>
  <c r="O35"/>
  <c r="P35"/>
  <c r="J36"/>
  <c r="K36"/>
  <c r="L36"/>
  <c r="M36"/>
  <c r="O36"/>
  <c r="P36"/>
  <c r="J37"/>
  <c r="K37"/>
  <c r="L37"/>
  <c r="M37"/>
  <c r="O37"/>
  <c r="P37"/>
  <c r="J38"/>
  <c r="K38"/>
  <c r="L38"/>
  <c r="M38"/>
  <c r="O38"/>
  <c r="P38"/>
  <c r="J39"/>
  <c r="K39"/>
  <c r="L39"/>
  <c r="M39"/>
  <c r="O39"/>
  <c r="P39"/>
  <c r="J40"/>
  <c r="K40"/>
  <c r="L40"/>
  <c r="M40"/>
  <c r="O40"/>
  <c r="P40"/>
  <c r="J41"/>
  <c r="K41"/>
  <c r="L41"/>
  <c r="M41"/>
  <c r="O41"/>
  <c r="P41"/>
  <c r="J42"/>
  <c r="K42"/>
  <c r="L42"/>
  <c r="M42"/>
  <c r="O42"/>
  <c r="P42"/>
  <c r="J43"/>
  <c r="K43"/>
  <c r="L43"/>
  <c r="M43"/>
  <c r="O43"/>
  <c r="P43"/>
  <c r="J44"/>
  <c r="K44"/>
  <c r="L44"/>
  <c r="M44"/>
  <c r="O44"/>
  <c r="P44"/>
  <c r="J45"/>
  <c r="K45"/>
  <c r="L45"/>
  <c r="M45"/>
  <c r="O45"/>
  <c r="P45"/>
  <c r="J46"/>
  <c r="K46"/>
  <c r="L46"/>
  <c r="M46"/>
  <c r="O46"/>
  <c r="P46"/>
  <c r="J47"/>
  <c r="K47"/>
  <c r="L47"/>
  <c r="M47"/>
  <c r="O47"/>
  <c r="P47"/>
  <c r="J48"/>
  <c r="K48"/>
  <c r="L48"/>
  <c r="M48"/>
  <c r="O48"/>
  <c r="P48"/>
  <c r="J49"/>
  <c r="K49"/>
  <c r="L49"/>
  <c r="M49"/>
  <c r="O49"/>
  <c r="P49"/>
  <c r="J50"/>
  <c r="K50"/>
  <c r="L50"/>
  <c r="M50"/>
  <c r="O50"/>
  <c r="P50"/>
  <c r="J51"/>
  <c r="K51"/>
  <c r="L51"/>
  <c r="M51"/>
  <c r="O51"/>
  <c r="P51"/>
  <c r="J52"/>
  <c r="K52"/>
  <c r="L52"/>
  <c r="M52"/>
  <c r="O52"/>
  <c r="P52"/>
  <c r="J53"/>
  <c r="K53"/>
  <c r="L53"/>
  <c r="M53"/>
  <c r="O53"/>
  <c r="P53"/>
  <c r="J54"/>
  <c r="K54"/>
  <c r="L54"/>
  <c r="M54"/>
  <c r="O54"/>
  <c r="P54"/>
  <c r="J55"/>
  <c r="K55"/>
  <c r="L55"/>
  <c r="M55"/>
  <c r="O55"/>
  <c r="P55"/>
  <c r="J56"/>
  <c r="K56"/>
  <c r="L56"/>
  <c r="M56"/>
  <c r="O56"/>
  <c r="P56"/>
  <c r="J57"/>
  <c r="K57"/>
  <c r="L57"/>
  <c r="M57"/>
  <c r="O57"/>
  <c r="P57"/>
  <c r="J58"/>
  <c r="K58"/>
  <c r="L58"/>
  <c r="M58"/>
  <c r="O58"/>
  <c r="P58"/>
  <c r="J59"/>
  <c r="K59"/>
  <c r="L59"/>
  <c r="M59"/>
  <c r="O59"/>
  <c r="P59"/>
  <c r="J60"/>
  <c r="K60"/>
  <c r="L60"/>
  <c r="M60"/>
  <c r="O60"/>
  <c r="P60"/>
  <c r="J61"/>
  <c r="K61"/>
  <c r="L61"/>
  <c r="M61"/>
  <c r="O61"/>
  <c r="P61"/>
  <c r="J62"/>
  <c r="K62"/>
  <c r="L62"/>
  <c r="M62"/>
  <c r="O62"/>
  <c r="P62"/>
  <c r="J63"/>
  <c r="K63"/>
  <c r="L63"/>
  <c r="M63"/>
  <c r="O63"/>
  <c r="P63"/>
  <c r="J64"/>
  <c r="K64"/>
  <c r="L64"/>
  <c r="M64"/>
  <c r="O64"/>
  <c r="P64"/>
  <c r="J65"/>
  <c r="K65"/>
  <c r="L65"/>
  <c r="M65"/>
  <c r="O65"/>
  <c r="P65"/>
  <c r="J66"/>
  <c r="K66"/>
  <c r="L66"/>
  <c r="M66"/>
  <c r="O66"/>
  <c r="P66"/>
  <c r="J67"/>
  <c r="K67"/>
  <c r="L67"/>
  <c r="M67"/>
  <c r="O67"/>
  <c r="P67"/>
  <c r="J68"/>
  <c r="K68"/>
  <c r="L68"/>
  <c r="M68"/>
  <c r="O68"/>
  <c r="P68"/>
  <c r="J69"/>
  <c r="K69"/>
  <c r="L69"/>
  <c r="M69"/>
  <c r="O69"/>
  <c r="P69"/>
  <c r="J70"/>
  <c r="K70"/>
  <c r="L70"/>
  <c r="M70"/>
  <c r="O70"/>
  <c r="P70"/>
  <c r="J71"/>
  <c r="K71"/>
  <c r="L71"/>
  <c r="M71"/>
  <c r="O71"/>
  <c r="P71"/>
  <c r="J72"/>
  <c r="K72"/>
  <c r="L72"/>
  <c r="M72"/>
  <c r="O72"/>
  <c r="P72"/>
  <c r="J73"/>
  <c r="K73"/>
  <c r="L73"/>
  <c r="M73"/>
  <c r="O73"/>
  <c r="P73"/>
  <c r="J74"/>
  <c r="K74"/>
  <c r="L74"/>
  <c r="M74"/>
  <c r="O74"/>
  <c r="P74"/>
  <c r="J75"/>
  <c r="K75"/>
  <c r="L75"/>
  <c r="M75"/>
  <c r="O75"/>
  <c r="P75"/>
  <c r="J76"/>
  <c r="K76"/>
  <c r="L76"/>
  <c r="M76"/>
  <c r="O76"/>
  <c r="P76"/>
  <c r="J77"/>
  <c r="K77"/>
  <c r="L77"/>
  <c r="M77"/>
  <c r="O77"/>
  <c r="P77"/>
  <c r="J78"/>
  <c r="K78"/>
  <c r="L78"/>
  <c r="M78"/>
  <c r="O78"/>
  <c r="P78"/>
  <c r="J79"/>
  <c r="K79"/>
  <c r="L79"/>
  <c r="M79"/>
  <c r="O79"/>
  <c r="P79"/>
  <c r="J80"/>
  <c r="K80"/>
  <c r="L80"/>
  <c r="M80"/>
  <c r="O80"/>
  <c r="P80"/>
  <c r="J81"/>
  <c r="K81"/>
  <c r="L81"/>
  <c r="M81"/>
  <c r="O81"/>
  <c r="P81"/>
  <c r="J82"/>
  <c r="K82"/>
  <c r="L82"/>
  <c r="M82"/>
  <c r="O82"/>
  <c r="P82"/>
  <c r="J83"/>
  <c r="K83"/>
  <c r="L83"/>
  <c r="M83"/>
  <c r="O83"/>
  <c r="P83"/>
  <c r="J84"/>
  <c r="K84"/>
  <c r="L84"/>
  <c r="M84"/>
  <c r="O84"/>
  <c r="P84"/>
  <c r="J85"/>
  <c r="K85"/>
  <c r="L85"/>
  <c r="M85"/>
  <c r="O85"/>
  <c r="P85"/>
  <c r="J86"/>
  <c r="K86"/>
  <c r="L86"/>
  <c r="M86"/>
  <c r="O86"/>
  <c r="P86"/>
  <c r="J87"/>
  <c r="K87"/>
  <c r="L87"/>
  <c r="M87"/>
  <c r="O87"/>
  <c r="P87"/>
  <c r="J88"/>
  <c r="K88"/>
  <c r="L88"/>
  <c r="M88"/>
  <c r="O88"/>
  <c r="P88"/>
  <c r="J89"/>
  <c r="K89"/>
  <c r="L89"/>
  <c r="M89"/>
  <c r="O89"/>
  <c r="P89"/>
  <c r="J90"/>
  <c r="K90"/>
  <c r="L90"/>
  <c r="M90"/>
  <c r="O90"/>
  <c r="P90"/>
  <c r="J91"/>
  <c r="K91"/>
  <c r="L91"/>
  <c r="M91"/>
  <c r="O91"/>
  <c r="P91"/>
  <c r="J92"/>
  <c r="K92"/>
  <c r="L92"/>
  <c r="M92"/>
  <c r="O92"/>
  <c r="P92"/>
  <c r="J93"/>
  <c r="K93"/>
  <c r="L93"/>
  <c r="M93"/>
  <c r="O93"/>
  <c r="P93"/>
  <c r="J94"/>
  <c r="K94"/>
  <c r="L94"/>
  <c r="M94"/>
  <c r="O94"/>
  <c r="P94"/>
  <c r="J95"/>
  <c r="K95"/>
  <c r="L95"/>
  <c r="M95"/>
  <c r="O95"/>
  <c r="P95"/>
  <c r="J96"/>
  <c r="K96"/>
  <c r="L96"/>
  <c r="M96"/>
  <c r="O96"/>
  <c r="P96"/>
  <c r="J97"/>
  <c r="K97"/>
  <c r="L97"/>
  <c r="M97"/>
  <c r="O97"/>
  <c r="P97"/>
  <c r="J98"/>
  <c r="K98"/>
  <c r="L98"/>
  <c r="M98"/>
  <c r="O98"/>
  <c r="P98"/>
  <c r="J99"/>
  <c r="K99"/>
  <c r="L99"/>
  <c r="M99"/>
  <c r="O99"/>
  <c r="P99"/>
  <c r="J100"/>
  <c r="K100"/>
  <c r="L100"/>
  <c r="M100"/>
  <c r="O100"/>
  <c r="P100"/>
  <c r="J101"/>
  <c r="K101"/>
  <c r="L101"/>
  <c r="M101"/>
  <c r="O101"/>
  <c r="P101"/>
  <c r="J102"/>
  <c r="K102"/>
  <c r="L102"/>
  <c r="M102"/>
  <c r="O102"/>
  <c r="P102"/>
  <c r="J103"/>
  <c r="K103"/>
  <c r="L103"/>
  <c r="M103"/>
  <c r="O103"/>
  <c r="P103"/>
  <c r="J104"/>
  <c r="K104"/>
  <c r="L104"/>
  <c r="M104"/>
  <c r="O104"/>
  <c r="P104"/>
  <c r="J105"/>
  <c r="K105"/>
  <c r="L105"/>
  <c r="M105"/>
  <c r="O105"/>
  <c r="P105"/>
  <c r="J106"/>
  <c r="K106"/>
  <c r="L106"/>
  <c r="M106"/>
  <c r="O106"/>
  <c r="P106"/>
  <c r="J107"/>
  <c r="K107"/>
  <c r="L107"/>
  <c r="M107"/>
  <c r="O107"/>
  <c r="P107"/>
  <c r="J108"/>
  <c r="K108"/>
  <c r="L108"/>
  <c r="M108"/>
  <c r="O108"/>
  <c r="P108"/>
  <c r="J109"/>
  <c r="K109"/>
  <c r="L109"/>
  <c r="M109"/>
  <c r="O109"/>
  <c r="P109"/>
  <c r="J110"/>
  <c r="K110"/>
  <c r="L110"/>
  <c r="M110"/>
  <c r="O110"/>
  <c r="P110"/>
  <c r="J111"/>
  <c r="K111"/>
  <c r="L111"/>
  <c r="M111"/>
  <c r="O111"/>
  <c r="P111"/>
  <c r="J112"/>
  <c r="K112"/>
  <c r="L112"/>
  <c r="M112"/>
  <c r="O112"/>
  <c r="P112"/>
  <c r="J113"/>
  <c r="K113"/>
  <c r="L113"/>
  <c r="M113"/>
  <c r="O113"/>
  <c r="P113"/>
  <c r="J114"/>
  <c r="K114"/>
  <c r="L114"/>
  <c r="M114"/>
  <c r="O114"/>
  <c r="P114"/>
  <c r="J115"/>
  <c r="K115"/>
  <c r="L115"/>
  <c r="M115"/>
  <c r="O115"/>
  <c r="P115"/>
  <c r="J116"/>
  <c r="K116"/>
  <c r="L116"/>
  <c r="M116"/>
  <c r="O116"/>
  <c r="P116"/>
  <c r="J117"/>
  <c r="K117"/>
  <c r="L117"/>
  <c r="M117"/>
  <c r="O117"/>
  <c r="P117"/>
  <c r="J118"/>
  <c r="K118"/>
  <c r="L118"/>
  <c r="M118"/>
  <c r="O118"/>
  <c r="P118"/>
  <c r="J119"/>
  <c r="K119"/>
  <c r="L119"/>
  <c r="M119"/>
  <c r="O119"/>
  <c r="P119"/>
  <c r="J120"/>
  <c r="K120"/>
  <c r="L120"/>
  <c r="M120"/>
  <c r="O120"/>
  <c r="P120"/>
  <c r="J121"/>
  <c r="K121"/>
  <c r="L121"/>
  <c r="M121"/>
  <c r="O121"/>
  <c r="P121"/>
  <c r="J122"/>
  <c r="K122"/>
  <c r="L122"/>
  <c r="M122"/>
  <c r="O122"/>
  <c r="P122"/>
  <c r="J123"/>
  <c r="K123"/>
  <c r="L123"/>
  <c r="M123"/>
  <c r="O123"/>
  <c r="P123"/>
  <c r="J124"/>
  <c r="K124"/>
  <c r="L124"/>
  <c r="M124"/>
  <c r="O124"/>
  <c r="P124"/>
  <c r="J125"/>
  <c r="K125"/>
  <c r="L125"/>
  <c r="M125"/>
  <c r="O125"/>
  <c r="P125"/>
  <c r="J126"/>
  <c r="K126"/>
  <c r="L126"/>
  <c r="M126"/>
  <c r="O126"/>
  <c r="P126"/>
  <c r="J127"/>
  <c r="K127"/>
  <c r="L127"/>
  <c r="M127"/>
  <c r="O127"/>
  <c r="P127"/>
  <c r="J128"/>
  <c r="K128"/>
  <c r="L128"/>
  <c r="M128"/>
  <c r="O128"/>
  <c r="P128"/>
  <c r="J129"/>
  <c r="K129"/>
  <c r="L129"/>
  <c r="M129"/>
  <c r="O129"/>
  <c r="P129"/>
  <c r="J130"/>
  <c r="K130"/>
  <c r="L130"/>
  <c r="M130"/>
  <c r="O130"/>
  <c r="P130"/>
  <c r="J131"/>
  <c r="K131"/>
  <c r="L131"/>
  <c r="M131"/>
  <c r="O131"/>
  <c r="P131"/>
  <c r="J132"/>
  <c r="K132"/>
  <c r="L132"/>
  <c r="M132"/>
  <c r="O132"/>
  <c r="P132"/>
  <c r="J133"/>
  <c r="K133"/>
  <c r="L133"/>
  <c r="M133"/>
  <c r="O133"/>
  <c r="P133"/>
  <c r="J134"/>
  <c r="K134"/>
  <c r="L134"/>
  <c r="M134"/>
  <c r="O134"/>
  <c r="P134"/>
  <c r="J135"/>
  <c r="K135"/>
  <c r="L135"/>
  <c r="M135"/>
  <c r="O135"/>
  <c r="P135"/>
  <c r="J136"/>
  <c r="K136"/>
  <c r="L136"/>
  <c r="M136"/>
  <c r="O136"/>
  <c r="P136"/>
  <c r="J137"/>
  <c r="K137"/>
  <c r="L137"/>
  <c r="M137"/>
  <c r="O137"/>
  <c r="P137"/>
  <c r="J138"/>
  <c r="K138"/>
  <c r="L138"/>
  <c r="M138"/>
  <c r="O138"/>
  <c r="P138"/>
  <c r="J139"/>
  <c r="K139"/>
  <c r="L139"/>
  <c r="M139"/>
  <c r="O139"/>
  <c r="P139"/>
  <c r="J140"/>
  <c r="K140"/>
  <c r="L140"/>
  <c r="M140"/>
  <c r="O140"/>
  <c r="P140"/>
  <c r="J141"/>
  <c r="K141"/>
  <c r="L141"/>
  <c r="M141"/>
  <c r="O141"/>
  <c r="P141"/>
  <c r="J142"/>
  <c r="K142"/>
  <c r="L142"/>
  <c r="M142"/>
  <c r="O142"/>
  <c r="P142"/>
  <c r="J143"/>
  <c r="K143"/>
  <c r="L143"/>
  <c r="M143"/>
  <c r="O143"/>
  <c r="P143"/>
  <c r="J144"/>
  <c r="K144"/>
  <c r="L144"/>
  <c r="M144"/>
  <c r="O144"/>
  <c r="P144"/>
  <c r="J145"/>
  <c r="K145"/>
  <c r="L145"/>
  <c r="M145"/>
  <c r="O145"/>
  <c r="P145"/>
  <c r="J146"/>
  <c r="K146"/>
  <c r="L146"/>
  <c r="M146"/>
  <c r="O146"/>
  <c r="P146"/>
  <c r="J147"/>
  <c r="K147"/>
  <c r="L147"/>
  <c r="M147"/>
  <c r="O147"/>
  <c r="P147"/>
  <c r="J148"/>
  <c r="K148"/>
  <c r="L148"/>
  <c r="M148"/>
  <c r="O148"/>
  <c r="P148"/>
  <c r="J149"/>
  <c r="K149"/>
  <c r="L149"/>
  <c r="M149"/>
  <c r="O149"/>
  <c r="P149"/>
  <c r="J150"/>
  <c r="K150"/>
  <c r="L150"/>
  <c r="M150"/>
  <c r="O150"/>
  <c r="P150"/>
  <c r="J151"/>
  <c r="K151"/>
  <c r="L151"/>
  <c r="M151"/>
  <c r="O151"/>
  <c r="P151"/>
  <c r="J152"/>
  <c r="K152"/>
  <c r="L152"/>
  <c r="M152"/>
  <c r="O152"/>
  <c r="P152"/>
  <c r="J153"/>
  <c r="K153"/>
  <c r="L153"/>
  <c r="M153"/>
  <c r="O153"/>
  <c r="P153"/>
  <c r="J154"/>
  <c r="K154"/>
  <c r="L154"/>
  <c r="M154"/>
  <c r="O154"/>
  <c r="P154"/>
  <c r="J155"/>
  <c r="K155"/>
  <c r="L155"/>
  <c r="M155"/>
  <c r="O155"/>
  <c r="P155"/>
  <c r="J156"/>
  <c r="K156"/>
  <c r="L156"/>
  <c r="M156"/>
  <c r="O156"/>
  <c r="P156"/>
  <c r="J157"/>
  <c r="K157"/>
  <c r="L157"/>
  <c r="M157"/>
  <c r="O157"/>
  <c r="P157"/>
  <c r="J158"/>
  <c r="K158"/>
  <c r="L158"/>
  <c r="M158"/>
  <c r="O158"/>
  <c r="P158"/>
  <c r="J159"/>
  <c r="K159"/>
  <c r="L159"/>
  <c r="M159"/>
  <c r="O159"/>
  <c r="P159"/>
  <c r="J160"/>
  <c r="K160"/>
  <c r="L160"/>
  <c r="M160"/>
  <c r="O160"/>
  <c r="P160"/>
  <c r="J161"/>
  <c r="K161"/>
  <c r="L161"/>
  <c r="M161"/>
  <c r="O161"/>
  <c r="P161"/>
  <c r="J162"/>
  <c r="K162"/>
  <c r="L162"/>
  <c r="M162"/>
  <c r="O162"/>
  <c r="P162"/>
  <c r="J163"/>
  <c r="K163"/>
  <c r="L163"/>
  <c r="M163"/>
  <c r="O163"/>
  <c r="P163"/>
  <c r="J164"/>
  <c r="K164"/>
  <c r="L164"/>
  <c r="M164"/>
  <c r="O164"/>
  <c r="P164"/>
  <c r="J14"/>
  <c r="K14"/>
  <c r="L14"/>
  <c r="M14"/>
  <c r="O14"/>
  <c r="P14"/>
  <c r="J15"/>
  <c r="K15"/>
  <c r="L15"/>
  <c r="M15"/>
  <c r="O15"/>
  <c r="P15"/>
  <c r="J16"/>
  <c r="K16"/>
  <c r="L16"/>
  <c r="M16"/>
  <c r="O16"/>
  <c r="P16"/>
  <c r="J17"/>
  <c r="K17"/>
  <c r="L17"/>
  <c r="M17"/>
  <c r="O17"/>
  <c r="P17"/>
  <c r="J18"/>
  <c r="K18"/>
  <c r="L18"/>
  <c r="M18"/>
  <c r="O18"/>
  <c r="P18"/>
  <c r="J19"/>
  <c r="K19"/>
  <c r="L19"/>
  <c r="M19"/>
  <c r="O19"/>
  <c r="P19"/>
  <c r="J20"/>
  <c r="K20"/>
  <c r="L20"/>
  <c r="M20"/>
  <c r="O20"/>
  <c r="P20"/>
  <c r="J21"/>
  <c r="K21"/>
  <c r="L21"/>
  <c r="M21"/>
  <c r="O21"/>
  <c r="P21"/>
  <c r="J22"/>
  <c r="K22"/>
  <c r="L22"/>
  <c r="M22"/>
  <c r="O22"/>
  <c r="P22"/>
  <c r="J23"/>
  <c r="K23"/>
  <c r="L23"/>
  <c r="M23"/>
  <c r="O23"/>
  <c r="P23"/>
  <c r="J24"/>
  <c r="K24"/>
  <c r="L24"/>
  <c r="M24"/>
  <c r="O24"/>
  <c r="P24"/>
  <c r="J25"/>
  <c r="K25"/>
  <c r="L25"/>
  <c r="M25"/>
  <c r="O25"/>
  <c r="P25"/>
  <c r="J26"/>
  <c r="K26"/>
  <c r="L26"/>
  <c r="M26"/>
  <c r="O26"/>
  <c r="P26"/>
  <c r="J27"/>
  <c r="K27"/>
  <c r="L27"/>
  <c r="M27"/>
  <c r="O27"/>
  <c r="P27"/>
  <c r="J28"/>
  <c r="K28"/>
  <c r="L28"/>
  <c r="M28"/>
  <c r="O28"/>
  <c r="P28"/>
  <c r="J29"/>
  <c r="K29"/>
  <c r="L29"/>
  <c r="M29"/>
  <c r="O29"/>
  <c r="P29"/>
  <c r="J30"/>
  <c r="K30"/>
  <c r="L30"/>
  <c r="M30"/>
  <c r="O30"/>
  <c r="P30"/>
  <c r="P13"/>
  <c r="P12"/>
  <c r="R164"/>
  <c r="R163"/>
  <c r="R162"/>
  <c r="R161"/>
  <c r="R160"/>
  <c r="R159"/>
  <c r="R158"/>
  <c r="R157"/>
  <c r="R156"/>
  <c r="AA133"/>
  <c r="R148"/>
  <c r="R146"/>
  <c r="R145"/>
  <c r="R144"/>
  <c r="R142"/>
  <c r="R132"/>
  <c r="R131"/>
  <c r="R130"/>
  <c r="R101"/>
  <c r="R84"/>
  <c r="R83"/>
  <c r="R80"/>
  <c r="R79"/>
  <c r="R71"/>
  <c r="R70"/>
  <c r="R69"/>
  <c r="R64"/>
  <c r="R52"/>
  <c r="R53"/>
  <c r="R51"/>
  <c r="R47"/>
  <c r="R45"/>
  <c r="R44"/>
  <c r="R40"/>
  <c r="R39"/>
  <c r="R38"/>
  <c r="R35"/>
  <c r="R33"/>
  <c r="R32"/>
  <c r="R17"/>
  <c r="AA138"/>
  <c r="AA137"/>
  <c r="W137"/>
  <c r="W138" s="1"/>
  <c r="W136"/>
  <c r="AA135"/>
  <c r="J13" i="10"/>
  <c r="J14"/>
  <c r="J15"/>
  <c r="J16"/>
  <c r="J17"/>
  <c r="J18"/>
  <c r="J19"/>
  <c r="J20"/>
  <c r="J21"/>
  <c r="J22"/>
  <c r="J23"/>
  <c r="J12"/>
  <c r="L14" i="13"/>
  <c r="L15"/>
  <c r="L16"/>
  <c r="L17"/>
  <c r="L18"/>
  <c r="L19"/>
  <c r="L20"/>
  <c r="L21"/>
  <c r="L22"/>
  <c r="L23"/>
  <c r="L24"/>
  <c r="L25"/>
  <c r="L26"/>
  <c r="L27"/>
  <c r="L13"/>
  <c r="V9" i="10"/>
  <c r="V15" s="1"/>
  <c r="V14"/>
  <c r="V13"/>
  <c r="R13"/>
  <c r="R14" s="1"/>
  <c r="R12"/>
  <c r="V11"/>
  <c r="I13"/>
  <c r="I14"/>
  <c r="I15"/>
  <c r="I16"/>
  <c r="I17"/>
  <c r="I18"/>
  <c r="I19"/>
  <c r="I20"/>
  <c r="I21"/>
  <c r="I22"/>
  <c r="I23"/>
  <c r="I12"/>
  <c r="G13"/>
  <c r="H13" s="1"/>
  <c r="G14"/>
  <c r="H14" s="1"/>
  <c r="G15"/>
  <c r="H15" s="1"/>
  <c r="G16"/>
  <c r="H16" s="1"/>
  <c r="G17"/>
  <c r="H17" s="1"/>
  <c r="G18"/>
  <c r="H18" s="1"/>
  <c r="G19"/>
  <c r="H19" s="1"/>
  <c r="G20"/>
  <c r="H20" s="1"/>
  <c r="G21"/>
  <c r="H21" s="1"/>
  <c r="G22"/>
  <c r="H22" s="1"/>
  <c r="G23"/>
  <c r="H23" s="1"/>
  <c r="G12"/>
  <c r="H12" s="1"/>
  <c r="H27" i="19" l="1"/>
  <c r="H18"/>
  <c r="H16"/>
  <c r="H14"/>
  <c r="H12"/>
  <c r="V10" i="10"/>
  <c r="V12"/>
  <c r="V16" l="1"/>
  <c r="K14" i="13" l="1"/>
  <c r="K15"/>
  <c r="K16"/>
  <c r="K17"/>
  <c r="K18"/>
  <c r="K19"/>
  <c r="K20"/>
  <c r="K21"/>
  <c r="K22"/>
  <c r="K23"/>
  <c r="K24"/>
  <c r="K25"/>
  <c r="K26"/>
  <c r="K27"/>
  <c r="K13"/>
  <c r="W10"/>
  <c r="W16" s="1"/>
  <c r="W15"/>
  <c r="W14"/>
  <c r="S14"/>
  <c r="S15" s="1"/>
  <c r="S13"/>
  <c r="W12"/>
  <c r="I14"/>
  <c r="I15"/>
  <c r="I16"/>
  <c r="I17"/>
  <c r="I18"/>
  <c r="I19"/>
  <c r="I20"/>
  <c r="I21"/>
  <c r="I22"/>
  <c r="I23"/>
  <c r="I24"/>
  <c r="I25"/>
  <c r="I26"/>
  <c r="I27"/>
  <c r="I13"/>
  <c r="G13"/>
  <c r="H14"/>
  <c r="H15"/>
  <c r="H16"/>
  <c r="H17"/>
  <c r="H18"/>
  <c r="H19"/>
  <c r="H20"/>
  <c r="H21"/>
  <c r="H22"/>
  <c r="H23"/>
  <c r="H24"/>
  <c r="H25"/>
  <c r="H26"/>
  <c r="H27"/>
  <c r="H13"/>
  <c r="G14"/>
  <c r="G15"/>
  <c r="G16"/>
  <c r="G17"/>
  <c r="G18"/>
  <c r="G19"/>
  <c r="G20"/>
  <c r="G21"/>
  <c r="G22"/>
  <c r="G23"/>
  <c r="G24"/>
  <c r="G25"/>
  <c r="G26"/>
  <c r="G27"/>
  <c r="C26"/>
  <c r="L35" i="7"/>
  <c r="M35" s="1"/>
  <c r="N35"/>
  <c r="O35" s="1"/>
  <c r="P35"/>
  <c r="Q35"/>
  <c r="S35"/>
  <c r="L36"/>
  <c r="M36"/>
  <c r="N36"/>
  <c r="O36"/>
  <c r="P36"/>
  <c r="Q36"/>
  <c r="S36"/>
  <c r="L37"/>
  <c r="M37"/>
  <c r="N37"/>
  <c r="O37"/>
  <c r="P37"/>
  <c r="Q37"/>
  <c r="S37"/>
  <c r="L38"/>
  <c r="M38"/>
  <c r="N38"/>
  <c r="O38"/>
  <c r="P38"/>
  <c r="Q38"/>
  <c r="S38"/>
  <c r="L39"/>
  <c r="M39"/>
  <c r="N39"/>
  <c r="O39"/>
  <c r="P39"/>
  <c r="Q39"/>
  <c r="S39"/>
  <c r="L40"/>
  <c r="M40"/>
  <c r="N40"/>
  <c r="O40"/>
  <c r="P40"/>
  <c r="Q40"/>
  <c r="S40"/>
  <c r="L41"/>
  <c r="M41"/>
  <c r="N41"/>
  <c r="O41"/>
  <c r="P41"/>
  <c r="Q41"/>
  <c r="S41"/>
  <c r="L42"/>
  <c r="M42" s="1"/>
  <c r="N42"/>
  <c r="O42"/>
  <c r="P42"/>
  <c r="Q42"/>
  <c r="S42"/>
  <c r="L43"/>
  <c r="M43"/>
  <c r="N43"/>
  <c r="O43"/>
  <c r="P43"/>
  <c r="Q43"/>
  <c r="S43"/>
  <c r="L44"/>
  <c r="M44"/>
  <c r="N44"/>
  <c r="O44"/>
  <c r="P44"/>
  <c r="Q44"/>
  <c r="S44"/>
  <c r="L45"/>
  <c r="M45"/>
  <c r="N45"/>
  <c r="O45"/>
  <c r="P45"/>
  <c r="Q45"/>
  <c r="S45"/>
  <c r="L46"/>
  <c r="M46" s="1"/>
  <c r="N46"/>
  <c r="P46"/>
  <c r="Q46"/>
  <c r="S46"/>
  <c r="L47"/>
  <c r="M47"/>
  <c r="N47"/>
  <c r="O47"/>
  <c r="P47"/>
  <c r="Q47"/>
  <c r="S47"/>
  <c r="L48"/>
  <c r="M48" s="1"/>
  <c r="N48"/>
  <c r="P48"/>
  <c r="Q48"/>
  <c r="S48"/>
  <c r="L49"/>
  <c r="M49"/>
  <c r="N49"/>
  <c r="O49"/>
  <c r="P49"/>
  <c r="Q49"/>
  <c r="S49"/>
  <c r="L50"/>
  <c r="M50" s="1"/>
  <c r="N50"/>
  <c r="P50"/>
  <c r="Q50"/>
  <c r="S50"/>
  <c r="L51"/>
  <c r="M51"/>
  <c r="N51"/>
  <c r="O51"/>
  <c r="P51"/>
  <c r="Q51"/>
  <c r="S51"/>
  <c r="L52"/>
  <c r="M52" s="1"/>
  <c r="N52"/>
  <c r="P52"/>
  <c r="Q52"/>
  <c r="S52"/>
  <c r="L53"/>
  <c r="M53"/>
  <c r="N53"/>
  <c r="O53"/>
  <c r="P53"/>
  <c r="Q53"/>
  <c r="S53"/>
  <c r="L54"/>
  <c r="M54" s="1"/>
  <c r="N54"/>
  <c r="P54"/>
  <c r="Q54"/>
  <c r="S54"/>
  <c r="L55"/>
  <c r="M55"/>
  <c r="N55"/>
  <c r="O55"/>
  <c r="P55"/>
  <c r="Q55"/>
  <c r="S55"/>
  <c r="L56"/>
  <c r="M56" s="1"/>
  <c r="N56"/>
  <c r="P56"/>
  <c r="Q56"/>
  <c r="S56"/>
  <c r="L57"/>
  <c r="M57"/>
  <c r="N57"/>
  <c r="O57"/>
  <c r="P57"/>
  <c r="Q57"/>
  <c r="S57"/>
  <c r="L58"/>
  <c r="M58" s="1"/>
  <c r="N58"/>
  <c r="P58"/>
  <c r="Q58"/>
  <c r="S58"/>
  <c r="L59"/>
  <c r="M59"/>
  <c r="N59"/>
  <c r="O59"/>
  <c r="P59"/>
  <c r="Q59"/>
  <c r="S59"/>
  <c r="L60"/>
  <c r="M60" s="1"/>
  <c r="N60"/>
  <c r="P60"/>
  <c r="Q60"/>
  <c r="S60"/>
  <c r="L61"/>
  <c r="M61"/>
  <c r="N61"/>
  <c r="O61"/>
  <c r="P61"/>
  <c r="Q61"/>
  <c r="S61"/>
  <c r="L62"/>
  <c r="M62" s="1"/>
  <c r="N62"/>
  <c r="P62"/>
  <c r="Q62"/>
  <c r="S62"/>
  <c r="L63"/>
  <c r="M63"/>
  <c r="N63"/>
  <c r="O63"/>
  <c r="P63"/>
  <c r="Q63"/>
  <c r="S63"/>
  <c r="L64"/>
  <c r="M64" s="1"/>
  <c r="N64"/>
  <c r="P64"/>
  <c r="Q64"/>
  <c r="S64"/>
  <c r="L65"/>
  <c r="M65"/>
  <c r="N65"/>
  <c r="O65"/>
  <c r="P65"/>
  <c r="Q65"/>
  <c r="S65"/>
  <c r="L66"/>
  <c r="M66" s="1"/>
  <c r="N66"/>
  <c r="P66"/>
  <c r="Q66"/>
  <c r="S66"/>
  <c r="L67"/>
  <c r="M67"/>
  <c r="N67"/>
  <c r="O67"/>
  <c r="P67"/>
  <c r="Q67"/>
  <c r="S67"/>
  <c r="L68"/>
  <c r="M68" s="1"/>
  <c r="N68"/>
  <c r="P68"/>
  <c r="Q68"/>
  <c r="S68"/>
  <c r="L69"/>
  <c r="M69"/>
  <c r="N69"/>
  <c r="O69"/>
  <c r="P69"/>
  <c r="Q69"/>
  <c r="S69"/>
  <c r="L70"/>
  <c r="M70" s="1"/>
  <c r="N70"/>
  <c r="P70"/>
  <c r="Q70"/>
  <c r="S70"/>
  <c r="L71"/>
  <c r="M71"/>
  <c r="N71"/>
  <c r="O71"/>
  <c r="P71"/>
  <c r="Q71"/>
  <c r="S71"/>
  <c r="L72"/>
  <c r="M72" s="1"/>
  <c r="N72"/>
  <c r="P72"/>
  <c r="Q72"/>
  <c r="S72"/>
  <c r="L73"/>
  <c r="M73"/>
  <c r="N73"/>
  <c r="O73"/>
  <c r="P73"/>
  <c r="Q73"/>
  <c r="S73"/>
  <c r="L74"/>
  <c r="M74" s="1"/>
  <c r="N74"/>
  <c r="P74"/>
  <c r="Q74"/>
  <c r="S74"/>
  <c r="L75"/>
  <c r="M75"/>
  <c r="N75"/>
  <c r="O75"/>
  <c r="P75"/>
  <c r="Q75"/>
  <c r="S75"/>
  <c r="L76"/>
  <c r="M76" s="1"/>
  <c r="N76"/>
  <c r="P76"/>
  <c r="Q76"/>
  <c r="S76"/>
  <c r="L77"/>
  <c r="M77"/>
  <c r="N77"/>
  <c r="O77"/>
  <c r="P77"/>
  <c r="Q77"/>
  <c r="S77"/>
  <c r="L78"/>
  <c r="M78" s="1"/>
  <c r="N78"/>
  <c r="P78"/>
  <c r="Q78"/>
  <c r="S78"/>
  <c r="L79"/>
  <c r="M79"/>
  <c r="N79"/>
  <c r="O79"/>
  <c r="P79"/>
  <c r="Q79"/>
  <c r="S79"/>
  <c r="L80"/>
  <c r="M80" s="1"/>
  <c r="N80"/>
  <c r="P80"/>
  <c r="Q80"/>
  <c r="S80"/>
  <c r="L81"/>
  <c r="M81"/>
  <c r="N81"/>
  <c r="O81"/>
  <c r="P81"/>
  <c r="Q81"/>
  <c r="S81"/>
  <c r="L82"/>
  <c r="M82" s="1"/>
  <c r="N82"/>
  <c r="P82"/>
  <c r="Q82"/>
  <c r="S82"/>
  <c r="L83"/>
  <c r="M83"/>
  <c r="N83"/>
  <c r="O83"/>
  <c r="P83"/>
  <c r="Q83"/>
  <c r="S83"/>
  <c r="L84"/>
  <c r="M84" s="1"/>
  <c r="N84"/>
  <c r="P84"/>
  <c r="Q84"/>
  <c r="S84"/>
  <c r="L85"/>
  <c r="M85"/>
  <c r="N85"/>
  <c r="O85"/>
  <c r="P85"/>
  <c r="Q85"/>
  <c r="S85"/>
  <c r="L86"/>
  <c r="M86" s="1"/>
  <c r="N86"/>
  <c r="P86"/>
  <c r="Q86"/>
  <c r="S86"/>
  <c r="L87"/>
  <c r="M87"/>
  <c r="N87"/>
  <c r="O87"/>
  <c r="P87"/>
  <c r="Q87"/>
  <c r="S87"/>
  <c r="L88"/>
  <c r="M88" s="1"/>
  <c r="N88"/>
  <c r="P88"/>
  <c r="Q88"/>
  <c r="S88"/>
  <c r="L89"/>
  <c r="M89"/>
  <c r="N89"/>
  <c r="O89"/>
  <c r="P89"/>
  <c r="Q89"/>
  <c r="S89"/>
  <c r="L90"/>
  <c r="M90" s="1"/>
  <c r="N90"/>
  <c r="P90"/>
  <c r="Q90"/>
  <c r="S90"/>
  <c r="L91"/>
  <c r="M91"/>
  <c r="N91"/>
  <c r="O91"/>
  <c r="P91"/>
  <c r="Q91"/>
  <c r="S91"/>
  <c r="L92"/>
  <c r="M92" s="1"/>
  <c r="N92"/>
  <c r="P92"/>
  <c r="Q92"/>
  <c r="S92"/>
  <c r="L93"/>
  <c r="M93"/>
  <c r="N93"/>
  <c r="O93"/>
  <c r="P93"/>
  <c r="Q93"/>
  <c r="S93"/>
  <c r="L94"/>
  <c r="M94" s="1"/>
  <c r="N94"/>
  <c r="P94"/>
  <c r="Q94"/>
  <c r="S94"/>
  <c r="L95"/>
  <c r="M95"/>
  <c r="N95"/>
  <c r="O95"/>
  <c r="P95"/>
  <c r="Q95"/>
  <c r="S95"/>
  <c r="L96"/>
  <c r="M96" s="1"/>
  <c r="N96"/>
  <c r="P96"/>
  <c r="Q96"/>
  <c r="S96"/>
  <c r="L97"/>
  <c r="M97"/>
  <c r="N97"/>
  <c r="O97"/>
  <c r="P97"/>
  <c r="Q97"/>
  <c r="S97"/>
  <c r="L98"/>
  <c r="M98" s="1"/>
  <c r="N98"/>
  <c r="P98"/>
  <c r="Q98"/>
  <c r="S98"/>
  <c r="L99"/>
  <c r="M99"/>
  <c r="N99"/>
  <c r="O99"/>
  <c r="P99"/>
  <c r="Q99"/>
  <c r="S99"/>
  <c r="L100"/>
  <c r="M100" s="1"/>
  <c r="N100"/>
  <c r="P100"/>
  <c r="Q100"/>
  <c r="S100"/>
  <c r="L101"/>
  <c r="M101"/>
  <c r="N101"/>
  <c r="O101"/>
  <c r="P101"/>
  <c r="Q101"/>
  <c r="S101"/>
  <c r="L14"/>
  <c r="M14" s="1"/>
  <c r="N14"/>
  <c r="P14"/>
  <c r="Q14"/>
  <c r="S14"/>
  <c r="L15"/>
  <c r="M15"/>
  <c r="N15"/>
  <c r="O15"/>
  <c r="P15"/>
  <c r="Q15"/>
  <c r="S15"/>
  <c r="L16"/>
  <c r="M16" s="1"/>
  <c r="N16"/>
  <c r="P16"/>
  <c r="Q16"/>
  <c r="S16"/>
  <c r="L17"/>
  <c r="M17"/>
  <c r="N17"/>
  <c r="O17"/>
  <c r="P17"/>
  <c r="Q17"/>
  <c r="S17"/>
  <c r="L18"/>
  <c r="M18" s="1"/>
  <c r="N18"/>
  <c r="P18"/>
  <c r="Q18"/>
  <c r="S18"/>
  <c r="L19"/>
  <c r="M19"/>
  <c r="N19"/>
  <c r="O19"/>
  <c r="P19"/>
  <c r="Q19"/>
  <c r="S19"/>
  <c r="L20"/>
  <c r="M20" s="1"/>
  <c r="N20"/>
  <c r="P20"/>
  <c r="Q20"/>
  <c r="S20"/>
  <c r="L21"/>
  <c r="M21"/>
  <c r="N21"/>
  <c r="O21"/>
  <c r="P21"/>
  <c r="Q21"/>
  <c r="S21"/>
  <c r="L22"/>
  <c r="M22" s="1"/>
  <c r="N22"/>
  <c r="P22"/>
  <c r="Q22"/>
  <c r="S22"/>
  <c r="L23"/>
  <c r="M23"/>
  <c r="N23"/>
  <c r="O23"/>
  <c r="P23"/>
  <c r="Q23"/>
  <c r="S23"/>
  <c r="L24"/>
  <c r="M24" s="1"/>
  <c r="N24"/>
  <c r="P24"/>
  <c r="Q24"/>
  <c r="S24"/>
  <c r="L25"/>
  <c r="M25"/>
  <c r="N25"/>
  <c r="O25"/>
  <c r="P25"/>
  <c r="Q25"/>
  <c r="S25"/>
  <c r="L26"/>
  <c r="M26" s="1"/>
  <c r="N26"/>
  <c r="P26"/>
  <c r="Q26"/>
  <c r="S26"/>
  <c r="L27"/>
  <c r="M27"/>
  <c r="N27"/>
  <c r="O27"/>
  <c r="P27"/>
  <c r="Q27"/>
  <c r="S27"/>
  <c r="L28"/>
  <c r="M28" s="1"/>
  <c r="N28"/>
  <c r="P28"/>
  <c r="Q28"/>
  <c r="S28"/>
  <c r="L29"/>
  <c r="M29"/>
  <c r="N29"/>
  <c r="O29"/>
  <c r="P29"/>
  <c r="Q29"/>
  <c r="S29"/>
  <c r="L30"/>
  <c r="M30" s="1"/>
  <c r="N30"/>
  <c r="P30"/>
  <c r="Q30"/>
  <c r="S30"/>
  <c r="L31"/>
  <c r="M31"/>
  <c r="N31"/>
  <c r="O31"/>
  <c r="P31"/>
  <c r="Q31"/>
  <c r="S31"/>
  <c r="L32"/>
  <c r="M32" s="1"/>
  <c r="N32"/>
  <c r="P32"/>
  <c r="Q32"/>
  <c r="S32"/>
  <c r="L33"/>
  <c r="M33"/>
  <c r="N33"/>
  <c r="O33"/>
  <c r="P33"/>
  <c r="Q33"/>
  <c r="S33"/>
  <c r="L34"/>
  <c r="M34" s="1"/>
  <c r="N34"/>
  <c r="P34"/>
  <c r="Q34"/>
  <c r="S34"/>
  <c r="S13"/>
  <c r="Q13"/>
  <c r="P13"/>
  <c r="O13"/>
  <c r="N13"/>
  <c r="M13"/>
  <c r="L13"/>
  <c r="AE27"/>
  <c r="AE28" s="1"/>
  <c r="U95"/>
  <c r="U94"/>
  <c r="U93"/>
  <c r="U92"/>
  <c r="U80"/>
  <c r="U78"/>
  <c r="U77"/>
  <c r="U79"/>
  <c r="U76"/>
  <c r="U18"/>
  <c r="U14"/>
  <c r="AE32"/>
  <c r="AE31"/>
  <c r="AA31"/>
  <c r="AA32" s="1"/>
  <c r="AA30"/>
  <c r="AE29"/>
  <c r="H13"/>
  <c r="E12" i="4"/>
  <c r="F12" s="1"/>
  <c r="G12" s="1"/>
  <c r="H12" s="1"/>
  <c r="I12" s="1"/>
  <c r="E13"/>
  <c r="F13" s="1"/>
  <c r="G13" s="1"/>
  <c r="H13" s="1"/>
  <c r="I13" s="1"/>
  <c r="E14"/>
  <c r="F14" s="1"/>
  <c r="G14" s="1"/>
  <c r="H14" s="1"/>
  <c r="I14" s="1"/>
  <c r="E15"/>
  <c r="F15" s="1"/>
  <c r="G15" s="1"/>
  <c r="H15" s="1"/>
  <c r="I15" s="1"/>
  <c r="E16"/>
  <c r="F16" s="1"/>
  <c r="G16" s="1"/>
  <c r="H16" s="1"/>
  <c r="I16" s="1"/>
  <c r="E17"/>
  <c r="F17" s="1"/>
  <c r="G17" s="1"/>
  <c r="H17" s="1"/>
  <c r="I17" s="1"/>
  <c r="E18"/>
  <c r="F18" s="1"/>
  <c r="G18" s="1"/>
  <c r="H18" s="1"/>
  <c r="I18" s="1"/>
  <c r="E19"/>
  <c r="F19" s="1"/>
  <c r="G19" s="1"/>
  <c r="H19" s="1"/>
  <c r="I19" s="1"/>
  <c r="E20"/>
  <c r="F20" s="1"/>
  <c r="G20" s="1"/>
  <c r="H20" s="1"/>
  <c r="I20" s="1"/>
  <c r="E21"/>
  <c r="F21" s="1"/>
  <c r="G21" s="1"/>
  <c r="H21" s="1"/>
  <c r="I21" s="1"/>
  <c r="E22"/>
  <c r="F22" s="1"/>
  <c r="G22" s="1"/>
  <c r="H22" s="1"/>
  <c r="I22" s="1"/>
  <c r="E23"/>
  <c r="F23" s="1"/>
  <c r="G23" s="1"/>
  <c r="H23" s="1"/>
  <c r="I23" s="1"/>
  <c r="E24"/>
  <c r="F24" s="1"/>
  <c r="G24" s="1"/>
  <c r="H24" s="1"/>
  <c r="I24" s="1"/>
  <c r="E25"/>
  <c r="F25" s="1"/>
  <c r="G25" s="1"/>
  <c r="H25" s="1"/>
  <c r="I25" s="1"/>
  <c r="E26"/>
  <c r="F26"/>
  <c r="G26" s="1"/>
  <c r="H26" s="1"/>
  <c r="I26" s="1"/>
  <c r="E27"/>
  <c r="F27"/>
  <c r="G27" s="1"/>
  <c r="H27" s="1"/>
  <c r="I27" s="1"/>
  <c r="E28"/>
  <c r="F28"/>
  <c r="G28" s="1"/>
  <c r="H28" s="1"/>
  <c r="I28" s="1"/>
  <c r="E29"/>
  <c r="F29"/>
  <c r="G29" s="1"/>
  <c r="H29" s="1"/>
  <c r="I29" s="1"/>
  <c r="R29"/>
  <c r="E30"/>
  <c r="F30"/>
  <c r="G30" s="1"/>
  <c r="H30" s="1"/>
  <c r="I30" s="1"/>
  <c r="E31"/>
  <c r="F31"/>
  <c r="G31" s="1"/>
  <c r="H31" s="1"/>
  <c r="I31" s="1"/>
  <c r="E32"/>
  <c r="F32"/>
  <c r="G32" s="1"/>
  <c r="H32" s="1"/>
  <c r="I32" s="1"/>
  <c r="E33"/>
  <c r="F33"/>
  <c r="G33" s="1"/>
  <c r="H33" s="1"/>
  <c r="I33" s="1"/>
  <c r="E34"/>
  <c r="F34"/>
  <c r="G34" s="1"/>
  <c r="H34" s="1"/>
  <c r="I34" s="1"/>
  <c r="E35"/>
  <c r="F35"/>
  <c r="G35" s="1"/>
  <c r="H35" s="1"/>
  <c r="I35" s="1"/>
  <c r="E36"/>
  <c r="F36"/>
  <c r="G36" s="1"/>
  <c r="H36" s="1"/>
  <c r="I36" s="1"/>
  <c r="E37"/>
  <c r="F37"/>
  <c r="G37" s="1"/>
  <c r="H37" s="1"/>
  <c r="I37" s="1"/>
  <c r="E38"/>
  <c r="F38"/>
  <c r="G38" s="1"/>
  <c r="H38" s="1"/>
  <c r="I38" s="1"/>
  <c r="E39"/>
  <c r="F39"/>
  <c r="G39" s="1"/>
  <c r="H39" s="1"/>
  <c r="I39" s="1"/>
  <c r="E40"/>
  <c r="F40"/>
  <c r="G40" s="1"/>
  <c r="H40" s="1"/>
  <c r="I40" s="1"/>
  <c r="E41"/>
  <c r="F41"/>
  <c r="G41" s="1"/>
  <c r="H41" s="1"/>
  <c r="I41" s="1"/>
  <c r="E42"/>
  <c r="F42"/>
  <c r="G42" s="1"/>
  <c r="H42" s="1"/>
  <c r="I42" s="1"/>
  <c r="E43"/>
  <c r="F43"/>
  <c r="G43" s="1"/>
  <c r="H43" s="1"/>
  <c r="I43" s="1"/>
  <c r="E44"/>
  <c r="F44"/>
  <c r="G44" s="1"/>
  <c r="H44" s="1"/>
  <c r="I44" s="1"/>
  <c r="E45"/>
  <c r="F45"/>
  <c r="G45" s="1"/>
  <c r="H45" s="1"/>
  <c r="I45" s="1"/>
  <c r="E46"/>
  <c r="F46"/>
  <c r="G46" s="1"/>
  <c r="H46" s="1"/>
  <c r="I46" s="1"/>
  <c r="E47"/>
  <c r="F47"/>
  <c r="G47" s="1"/>
  <c r="H47" s="1"/>
  <c r="I47" s="1"/>
  <c r="E48"/>
  <c r="F48"/>
  <c r="G48" s="1"/>
  <c r="H48" s="1"/>
  <c r="I48" s="1"/>
  <c r="E49"/>
  <c r="F49"/>
  <c r="G49" s="1"/>
  <c r="H49" s="1"/>
  <c r="I49" s="1"/>
  <c r="E50"/>
  <c r="F50"/>
  <c r="G50" s="1"/>
  <c r="H50" s="1"/>
  <c r="I50" s="1"/>
  <c r="E51"/>
  <c r="F51"/>
  <c r="G51" s="1"/>
  <c r="H51" s="1"/>
  <c r="I51" s="1"/>
  <c r="P51" s="1"/>
  <c r="O51"/>
  <c r="E52"/>
  <c r="F52"/>
  <c r="G52" s="1"/>
  <c r="H52"/>
  <c r="I52" s="1"/>
  <c r="P52" s="1"/>
  <c r="O52"/>
  <c r="E53"/>
  <c r="F53"/>
  <c r="G53" s="1"/>
  <c r="H53"/>
  <c r="I53" s="1"/>
  <c r="P53" s="1"/>
  <c r="O53"/>
  <c r="E54"/>
  <c r="F54"/>
  <c r="G54" s="1"/>
  <c r="H54"/>
  <c r="I54" s="1"/>
  <c r="P54" s="1"/>
  <c r="O54"/>
  <c r="E55"/>
  <c r="F55"/>
  <c r="G55" s="1"/>
  <c r="H55"/>
  <c r="I55" s="1"/>
  <c r="P55" s="1"/>
  <c r="O55"/>
  <c r="E56"/>
  <c r="F56"/>
  <c r="G56" s="1"/>
  <c r="H56"/>
  <c r="I56" s="1"/>
  <c r="P56" s="1"/>
  <c r="O56"/>
  <c r="E57"/>
  <c r="F57"/>
  <c r="G57"/>
  <c r="H57" s="1"/>
  <c r="I57" s="1"/>
  <c r="E58"/>
  <c r="F58" s="1"/>
  <c r="G58" s="1"/>
  <c r="H58" s="1"/>
  <c r="I58" s="1"/>
  <c r="E59"/>
  <c r="F59" s="1"/>
  <c r="G59" s="1"/>
  <c r="H59" s="1"/>
  <c r="I59" s="1"/>
  <c r="E60"/>
  <c r="F60" s="1"/>
  <c r="G60" s="1"/>
  <c r="H60" s="1"/>
  <c r="I60" s="1"/>
  <c r="E61"/>
  <c r="F61" s="1"/>
  <c r="G61" s="1"/>
  <c r="H61" s="1"/>
  <c r="I61" s="1"/>
  <c r="E62"/>
  <c r="F62" s="1"/>
  <c r="G62" s="1"/>
  <c r="H62" s="1"/>
  <c r="I62" s="1"/>
  <c r="E63"/>
  <c r="F63" s="1"/>
  <c r="G63" s="1"/>
  <c r="H63" s="1"/>
  <c r="I63" s="1"/>
  <c r="E64"/>
  <c r="F64" s="1"/>
  <c r="G64" s="1"/>
  <c r="H64" s="1"/>
  <c r="I64" s="1"/>
  <c r="E65"/>
  <c r="F65" s="1"/>
  <c r="G65" s="1"/>
  <c r="H65" s="1"/>
  <c r="I65" s="1"/>
  <c r="E66"/>
  <c r="F66" s="1"/>
  <c r="G66" s="1"/>
  <c r="H66" s="1"/>
  <c r="I66" s="1"/>
  <c r="E67"/>
  <c r="F67" s="1"/>
  <c r="G67" s="1"/>
  <c r="H67" s="1"/>
  <c r="I67" s="1"/>
  <c r="E68"/>
  <c r="F68" s="1"/>
  <c r="G68" s="1"/>
  <c r="H68" s="1"/>
  <c r="I68" s="1"/>
  <c r="E69"/>
  <c r="F69" s="1"/>
  <c r="G69" s="1"/>
  <c r="H69" s="1"/>
  <c r="I69" s="1"/>
  <c r="E70"/>
  <c r="F70" s="1"/>
  <c r="G70" s="1"/>
  <c r="H70" s="1"/>
  <c r="I70" s="1"/>
  <c r="E71"/>
  <c r="F71" s="1"/>
  <c r="G71" s="1"/>
  <c r="H71" s="1"/>
  <c r="I71" s="1"/>
  <c r="E72"/>
  <c r="F72" s="1"/>
  <c r="G72" s="1"/>
  <c r="H72" s="1"/>
  <c r="I72" s="1"/>
  <c r="E73"/>
  <c r="F73" s="1"/>
  <c r="G73" s="1"/>
  <c r="I73" s="1"/>
  <c r="E74"/>
  <c r="F74" s="1"/>
  <c r="G74" s="1"/>
  <c r="I74" s="1"/>
  <c r="E75"/>
  <c r="F75" s="1"/>
  <c r="G75" s="1"/>
  <c r="I75" s="1"/>
  <c r="E76"/>
  <c r="F76" s="1"/>
  <c r="G76" s="1"/>
  <c r="I76" s="1"/>
  <c r="E77"/>
  <c r="F77" s="1"/>
  <c r="G77" s="1"/>
  <c r="I77" s="1"/>
  <c r="E78"/>
  <c r="F78" s="1"/>
  <c r="G78" s="1"/>
  <c r="I78" s="1"/>
  <c r="I79"/>
  <c r="P79" s="1"/>
  <c r="N79"/>
  <c r="O79"/>
  <c r="R79"/>
  <c r="I80"/>
  <c r="N80"/>
  <c r="O80"/>
  <c r="P80"/>
  <c r="R80"/>
  <c r="I81"/>
  <c r="P81" s="1"/>
  <c r="N81"/>
  <c r="O81"/>
  <c r="R81"/>
  <c r="I82"/>
  <c r="N82"/>
  <c r="O82"/>
  <c r="P82"/>
  <c r="R82"/>
  <c r="I83"/>
  <c r="P83" s="1"/>
  <c r="N83"/>
  <c r="O83"/>
  <c r="R83"/>
  <c r="I84"/>
  <c r="N84"/>
  <c r="O84"/>
  <c r="P84"/>
  <c r="R84"/>
  <c r="I85"/>
  <c r="P85" s="1"/>
  <c r="N85"/>
  <c r="O85"/>
  <c r="R85"/>
  <c r="I86"/>
  <c r="N86"/>
  <c r="O86"/>
  <c r="P86"/>
  <c r="R86"/>
  <c r="I87"/>
  <c r="P87" s="1"/>
  <c r="N87"/>
  <c r="O87"/>
  <c r="R87"/>
  <c r="I88"/>
  <c r="N88"/>
  <c r="O88"/>
  <c r="P88"/>
  <c r="R88"/>
  <c r="I89"/>
  <c r="P89" s="1"/>
  <c r="N89"/>
  <c r="O89"/>
  <c r="R89"/>
  <c r="I90"/>
  <c r="N90"/>
  <c r="O90"/>
  <c r="P90"/>
  <c r="R90"/>
  <c r="I91"/>
  <c r="P91" s="1"/>
  <c r="N91"/>
  <c r="O91"/>
  <c r="R91"/>
  <c r="R13" i="6"/>
  <c r="T41"/>
  <c r="T42" s="1"/>
  <c r="T72"/>
  <c r="T73" s="1"/>
  <c r="T57"/>
  <c r="T34"/>
  <c r="T33"/>
  <c r="T29"/>
  <c r="T28"/>
  <c r="T27"/>
  <c r="T22"/>
  <c r="T17"/>
  <c r="R14" i="5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13"/>
  <c r="M14"/>
  <c r="N14"/>
  <c r="O14"/>
  <c r="P14"/>
  <c r="M15"/>
  <c r="N15"/>
  <c r="O15"/>
  <c r="P15"/>
  <c r="M16"/>
  <c r="N16"/>
  <c r="O16"/>
  <c r="P16"/>
  <c r="M17"/>
  <c r="N17"/>
  <c r="O17"/>
  <c r="P17"/>
  <c r="M18"/>
  <c r="N18"/>
  <c r="O18"/>
  <c r="P18"/>
  <c r="M19"/>
  <c r="N19"/>
  <c r="O19"/>
  <c r="P19"/>
  <c r="M20"/>
  <c r="N20"/>
  <c r="O20"/>
  <c r="P20"/>
  <c r="M21"/>
  <c r="N21"/>
  <c r="O21"/>
  <c r="P21"/>
  <c r="M13"/>
  <c r="Q50" i="11"/>
  <c r="O50"/>
  <c r="N50"/>
  <c r="M50"/>
  <c r="I47" i="16"/>
  <c r="I44"/>
  <c r="I45"/>
  <c r="I46"/>
  <c r="I41"/>
  <c r="I40"/>
  <c r="I43"/>
  <c r="I42"/>
  <c r="I39"/>
  <c r="I38"/>
  <c r="I33"/>
  <c r="I32"/>
  <c r="I31"/>
  <c r="I29"/>
  <c r="I21"/>
  <c r="I20"/>
  <c r="I19"/>
  <c r="I18"/>
  <c r="I17"/>
  <c r="I16"/>
  <c r="I22" s="1"/>
  <c r="I7"/>
  <c r="I11"/>
  <c r="I10"/>
  <c r="I9"/>
  <c r="I8"/>
  <c r="I6"/>
  <c r="I12" s="1"/>
  <c r="S26" i="11"/>
  <c r="E11" i="2"/>
  <c r="E12"/>
  <c r="I34" i="16" s="1"/>
  <c r="E13" i="2"/>
  <c r="E14"/>
  <c r="E15"/>
  <c r="E16"/>
  <c r="E10"/>
  <c r="E41" i="16"/>
  <c r="E42" s="1"/>
  <c r="E40"/>
  <c r="E31"/>
  <c r="E32" s="1"/>
  <c r="E30"/>
  <c r="E19"/>
  <c r="E20" s="1"/>
  <c r="E18"/>
  <c r="E9"/>
  <c r="E10" s="1"/>
  <c r="E8"/>
  <c r="W11" i="13" l="1"/>
  <c r="W13"/>
  <c r="W17" s="1"/>
  <c r="O100" i="7"/>
  <c r="O98"/>
  <c r="O96"/>
  <c r="O94"/>
  <c r="O92"/>
  <c r="O90"/>
  <c r="O88"/>
  <c r="O86"/>
  <c r="O84"/>
  <c r="O82"/>
  <c r="O80"/>
  <c r="O78"/>
  <c r="O76"/>
  <c r="O74"/>
  <c r="O72"/>
  <c r="O70"/>
  <c r="O68"/>
  <c r="O66"/>
  <c r="O64"/>
  <c r="O62"/>
  <c r="O60"/>
  <c r="O58"/>
  <c r="O56"/>
  <c r="O54"/>
  <c r="O52"/>
  <c r="O50"/>
  <c r="O48"/>
  <c r="O46"/>
  <c r="O34"/>
  <c r="O32"/>
  <c r="O30"/>
  <c r="O28"/>
  <c r="O26"/>
  <c r="O24"/>
  <c r="O22"/>
  <c r="O20"/>
  <c r="O18"/>
  <c r="O16"/>
  <c r="O14"/>
  <c r="AE30"/>
  <c r="AE33"/>
  <c r="AE34" s="1"/>
  <c r="M75" i="4"/>
  <c r="N75" s="1"/>
  <c r="O75"/>
  <c r="P75"/>
  <c r="T75"/>
  <c r="R75" s="1"/>
  <c r="M78"/>
  <c r="N78" s="1"/>
  <c r="O78"/>
  <c r="P78"/>
  <c r="T78"/>
  <c r="R78" s="1"/>
  <c r="M76"/>
  <c r="N76" s="1"/>
  <c r="O76"/>
  <c r="P76"/>
  <c r="T76"/>
  <c r="R76" s="1"/>
  <c r="M74"/>
  <c r="N74" s="1"/>
  <c r="O74"/>
  <c r="P74"/>
  <c r="T74"/>
  <c r="R74" s="1"/>
  <c r="P72"/>
  <c r="M72"/>
  <c r="N72" s="1"/>
  <c r="O72"/>
  <c r="R72"/>
  <c r="P70"/>
  <c r="M70"/>
  <c r="N70" s="1"/>
  <c r="O70"/>
  <c r="R70"/>
  <c r="P68"/>
  <c r="M68"/>
  <c r="N68" s="1"/>
  <c r="O68"/>
  <c r="R68"/>
  <c r="P66"/>
  <c r="M66"/>
  <c r="N66" s="1"/>
  <c r="O66"/>
  <c r="R66"/>
  <c r="P64"/>
  <c r="M64"/>
  <c r="N64" s="1"/>
  <c r="O64"/>
  <c r="R64"/>
  <c r="P62"/>
  <c r="M62"/>
  <c r="N62" s="1"/>
  <c r="O62"/>
  <c r="R62"/>
  <c r="P60"/>
  <c r="M60"/>
  <c r="N60" s="1"/>
  <c r="O60"/>
  <c r="R60"/>
  <c r="P58"/>
  <c r="M58"/>
  <c r="N58" s="1"/>
  <c r="O58"/>
  <c r="R58"/>
  <c r="M77"/>
  <c r="N77" s="1"/>
  <c r="O77"/>
  <c r="P77"/>
  <c r="T77"/>
  <c r="R77" s="1"/>
  <c r="M73"/>
  <c r="N73" s="1"/>
  <c r="O73"/>
  <c r="P73"/>
  <c r="T73"/>
  <c r="R73" s="1"/>
  <c r="P71"/>
  <c r="M71"/>
  <c r="N71" s="1"/>
  <c r="O71"/>
  <c r="R71"/>
  <c r="P69"/>
  <c r="M69"/>
  <c r="N69" s="1"/>
  <c r="O69"/>
  <c r="R69"/>
  <c r="P67"/>
  <c r="M67"/>
  <c r="N67" s="1"/>
  <c r="O67"/>
  <c r="R67"/>
  <c r="P65"/>
  <c r="M65"/>
  <c r="N65" s="1"/>
  <c r="O65"/>
  <c r="R65"/>
  <c r="P63"/>
  <c r="M63"/>
  <c r="N63" s="1"/>
  <c r="O63"/>
  <c r="R63"/>
  <c r="P61"/>
  <c r="M61"/>
  <c r="N61" s="1"/>
  <c r="O61"/>
  <c r="R61"/>
  <c r="P59"/>
  <c r="M59"/>
  <c r="N59" s="1"/>
  <c r="O59"/>
  <c r="R59"/>
  <c r="P57"/>
  <c r="M57"/>
  <c r="N57" s="1"/>
  <c r="O57"/>
  <c r="R57"/>
  <c r="R56"/>
  <c r="M56"/>
  <c r="N56" s="1"/>
  <c r="R55"/>
  <c r="M55"/>
  <c r="N55" s="1"/>
  <c r="R54"/>
  <c r="M54"/>
  <c r="N54" s="1"/>
  <c r="R53"/>
  <c r="M53"/>
  <c r="N53" s="1"/>
  <c r="R52"/>
  <c r="M52"/>
  <c r="N52" s="1"/>
  <c r="R51"/>
  <c r="M51"/>
  <c r="N51" s="1"/>
  <c r="M50"/>
  <c r="N50" s="1"/>
  <c r="O50"/>
  <c r="R50"/>
  <c r="P50"/>
  <c r="M49"/>
  <c r="N49" s="1"/>
  <c r="O49"/>
  <c r="R49"/>
  <c r="P49"/>
  <c r="M48"/>
  <c r="N48" s="1"/>
  <c r="O48"/>
  <c r="R48"/>
  <c r="P48"/>
  <c r="M47"/>
  <c r="N47" s="1"/>
  <c r="O47"/>
  <c r="R47"/>
  <c r="P47"/>
  <c r="M46"/>
  <c r="N46" s="1"/>
  <c r="O46"/>
  <c r="R46"/>
  <c r="P46"/>
  <c r="M45"/>
  <c r="N45" s="1"/>
  <c r="O45"/>
  <c r="R45"/>
  <c r="P45"/>
  <c r="M44"/>
  <c r="N44" s="1"/>
  <c r="O44"/>
  <c r="R44"/>
  <c r="P44"/>
  <c r="M43"/>
  <c r="N43" s="1"/>
  <c r="O43"/>
  <c r="R43"/>
  <c r="P43"/>
  <c r="M42"/>
  <c r="N42" s="1"/>
  <c r="O42"/>
  <c r="R42"/>
  <c r="P42"/>
  <c r="M41"/>
  <c r="N41" s="1"/>
  <c r="O41"/>
  <c r="R41"/>
  <c r="P41"/>
  <c r="M40"/>
  <c r="N40" s="1"/>
  <c r="O40"/>
  <c r="R40"/>
  <c r="P40"/>
  <c r="M39"/>
  <c r="N39" s="1"/>
  <c r="O39"/>
  <c r="R39"/>
  <c r="P39"/>
  <c r="M38"/>
  <c r="N38" s="1"/>
  <c r="O38"/>
  <c r="R38"/>
  <c r="P38"/>
  <c r="M37"/>
  <c r="N37" s="1"/>
  <c r="O37"/>
  <c r="R37"/>
  <c r="P37"/>
  <c r="M36"/>
  <c r="N36" s="1"/>
  <c r="O36"/>
  <c r="R36"/>
  <c r="P36"/>
  <c r="M35"/>
  <c r="N35" s="1"/>
  <c r="O35"/>
  <c r="R35"/>
  <c r="P35"/>
  <c r="M34"/>
  <c r="N34" s="1"/>
  <c r="O34"/>
  <c r="R34"/>
  <c r="P34"/>
  <c r="M33"/>
  <c r="N33" s="1"/>
  <c r="O33"/>
  <c r="R33"/>
  <c r="P33"/>
  <c r="M32"/>
  <c r="N32" s="1"/>
  <c r="O32"/>
  <c r="R32"/>
  <c r="P32"/>
  <c r="M31"/>
  <c r="N31" s="1"/>
  <c r="O31"/>
  <c r="R31"/>
  <c r="P31"/>
  <c r="P30"/>
  <c r="M30"/>
  <c r="N30" s="1"/>
  <c r="R30"/>
  <c r="O30"/>
  <c r="P29"/>
  <c r="M29"/>
  <c r="N29" s="1"/>
  <c r="O29"/>
  <c r="P28"/>
  <c r="M28"/>
  <c r="N28" s="1"/>
  <c r="O28"/>
  <c r="R28"/>
  <c r="P27"/>
  <c r="M27"/>
  <c r="N27" s="1"/>
  <c r="O27"/>
  <c r="R27"/>
  <c r="P26"/>
  <c r="M26"/>
  <c r="N26" s="1"/>
  <c r="O26"/>
  <c r="R26"/>
  <c r="P25"/>
  <c r="M25"/>
  <c r="N25" s="1"/>
  <c r="O25"/>
  <c r="R25"/>
  <c r="P23"/>
  <c r="M23"/>
  <c r="N23" s="1"/>
  <c r="O23"/>
  <c r="R23"/>
  <c r="P21"/>
  <c r="M21"/>
  <c r="N21" s="1"/>
  <c r="O21"/>
  <c r="R21"/>
  <c r="P19"/>
  <c r="M19"/>
  <c r="N19" s="1"/>
  <c r="O19"/>
  <c r="R19"/>
  <c r="P17"/>
  <c r="M17"/>
  <c r="N17" s="1"/>
  <c r="O17"/>
  <c r="R17"/>
  <c r="P15"/>
  <c r="M15"/>
  <c r="N15" s="1"/>
  <c r="O15"/>
  <c r="R15"/>
  <c r="P13"/>
  <c r="M13"/>
  <c r="N13" s="1"/>
  <c r="O13"/>
  <c r="R13"/>
  <c r="P24"/>
  <c r="M24"/>
  <c r="N24" s="1"/>
  <c r="O24"/>
  <c r="R24"/>
  <c r="P22"/>
  <c r="M22"/>
  <c r="N22" s="1"/>
  <c r="O22"/>
  <c r="R22"/>
  <c r="P20"/>
  <c r="M20"/>
  <c r="N20" s="1"/>
  <c r="O20"/>
  <c r="R20"/>
  <c r="P18"/>
  <c r="M18"/>
  <c r="N18" s="1"/>
  <c r="O18"/>
  <c r="R18"/>
  <c r="P16"/>
  <c r="M16"/>
  <c r="N16" s="1"/>
  <c r="O16"/>
  <c r="R16"/>
  <c r="P14"/>
  <c r="M14"/>
  <c r="N14" s="1"/>
  <c r="O14"/>
  <c r="R14"/>
  <c r="P12"/>
  <c r="M12"/>
  <c r="N12" s="1"/>
  <c r="O12"/>
  <c r="R12"/>
  <c r="I28" i="16"/>
  <c r="I30"/>
  <c r="F12" i="14"/>
  <c r="H12" s="1"/>
  <c r="I35" i="16" l="1"/>
  <c r="J35" s="1"/>
  <c r="M12" i="14"/>
  <c r="I12"/>
  <c r="J12"/>
  <c r="K12"/>
  <c r="L12"/>
  <c r="U24" i="15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9"/>
  <c r="U10"/>
  <c r="U11"/>
  <c r="U12"/>
  <c r="U13"/>
  <c r="U14"/>
  <c r="U15"/>
  <c r="U16"/>
  <c r="U17"/>
  <c r="U18"/>
  <c r="U19"/>
  <c r="U20"/>
  <c r="U21"/>
  <c r="U22"/>
  <c r="U23"/>
  <c r="U8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8"/>
  <c r="S26"/>
  <c r="S40"/>
  <c r="S56"/>
  <c r="I70"/>
  <c r="J70" s="1"/>
  <c r="K70" s="1"/>
  <c r="S70" s="1"/>
  <c r="I69"/>
  <c r="J69" s="1"/>
  <c r="K69" s="1"/>
  <c r="S69" s="1"/>
  <c r="I71"/>
  <c r="J71" s="1"/>
  <c r="K71" s="1"/>
  <c r="S71" s="1"/>
  <c r="I68"/>
  <c r="J68" s="1"/>
  <c r="K68" s="1"/>
  <c r="S68" s="1"/>
  <c r="I67"/>
  <c r="J67" s="1"/>
  <c r="K67" s="1"/>
  <c r="S67" s="1"/>
  <c r="I59"/>
  <c r="J59" s="1"/>
  <c r="K59" s="1"/>
  <c r="R59" s="1"/>
  <c r="I58"/>
  <c r="J58" s="1"/>
  <c r="K58" s="1"/>
  <c r="S58" s="1"/>
  <c r="I56"/>
  <c r="J56" s="1"/>
  <c r="K56" s="1"/>
  <c r="I55"/>
  <c r="J55" s="1"/>
  <c r="K55" s="1"/>
  <c r="S55" s="1"/>
  <c r="I57"/>
  <c r="J57" s="1"/>
  <c r="K57" s="1"/>
  <c r="S57" s="1"/>
  <c r="I54"/>
  <c r="J54" s="1"/>
  <c r="K54" s="1"/>
  <c r="S54" s="1"/>
  <c r="I53"/>
  <c r="J53" s="1"/>
  <c r="K53" s="1"/>
  <c r="S53" s="1"/>
  <c r="K49"/>
  <c r="S49" s="1"/>
  <c r="I49"/>
  <c r="J49" s="1"/>
  <c r="I51"/>
  <c r="J51" s="1"/>
  <c r="K51" s="1"/>
  <c r="S51" s="1"/>
  <c r="I47"/>
  <c r="J47" s="1"/>
  <c r="K47" s="1"/>
  <c r="S47" s="1"/>
  <c r="I43"/>
  <c r="J43" s="1"/>
  <c r="K43" s="1"/>
  <c r="S43" s="1"/>
  <c r="I42"/>
  <c r="J42" s="1"/>
  <c r="K42" s="1"/>
  <c r="S42" s="1"/>
  <c r="I41"/>
  <c r="J41" s="1"/>
  <c r="K41" s="1"/>
  <c r="S41" s="1"/>
  <c r="I40"/>
  <c r="J40" s="1"/>
  <c r="K40" s="1"/>
  <c r="I39"/>
  <c r="J39" s="1"/>
  <c r="K39" s="1"/>
  <c r="S39" s="1"/>
  <c r="I38"/>
  <c r="J38" s="1"/>
  <c r="K38" s="1"/>
  <c r="S38" s="1"/>
  <c r="I37"/>
  <c r="J37" s="1"/>
  <c r="K37" s="1"/>
  <c r="S37" s="1"/>
  <c r="I35"/>
  <c r="J35" s="1"/>
  <c r="K35" s="1"/>
  <c r="S35" s="1"/>
  <c r="I34"/>
  <c r="J34" s="1"/>
  <c r="K34" s="1"/>
  <c r="S34" s="1"/>
  <c r="I33"/>
  <c r="J33" s="1"/>
  <c r="K33" s="1"/>
  <c r="S33" s="1"/>
  <c r="I32"/>
  <c r="J32" s="1"/>
  <c r="K32" s="1"/>
  <c r="S32" s="1"/>
  <c r="I31"/>
  <c r="J31" s="1"/>
  <c r="K31" s="1"/>
  <c r="S31" s="1"/>
  <c r="I30"/>
  <c r="J30" s="1"/>
  <c r="K30" s="1"/>
  <c r="S30" s="1"/>
  <c r="I26"/>
  <c r="J26" s="1"/>
  <c r="K26" s="1"/>
  <c r="I22"/>
  <c r="J22" s="1"/>
  <c r="K22" s="1"/>
  <c r="R22" s="1"/>
  <c r="I21"/>
  <c r="J21" s="1"/>
  <c r="K21" s="1"/>
  <c r="S21" s="1"/>
  <c r="I20"/>
  <c r="J20" s="1"/>
  <c r="K20" s="1"/>
  <c r="S20" s="1"/>
  <c r="I19"/>
  <c r="J19" s="1"/>
  <c r="K19" s="1"/>
  <c r="S19" s="1"/>
  <c r="I18"/>
  <c r="J18" s="1"/>
  <c r="K18" s="1"/>
  <c r="S18" s="1"/>
  <c r="I17"/>
  <c r="J17" s="1"/>
  <c r="K17" s="1"/>
  <c r="S17" s="1"/>
  <c r="I16"/>
  <c r="J16" s="1"/>
  <c r="K16" s="1"/>
  <c r="S16" s="1"/>
  <c r="I15"/>
  <c r="J15" s="1"/>
  <c r="K15" s="1"/>
  <c r="S15" s="1"/>
  <c r="I14"/>
  <c r="J14" s="1"/>
  <c r="K14" s="1"/>
  <c r="S14" s="1"/>
  <c r="I13"/>
  <c r="J13" s="1"/>
  <c r="K13" s="1"/>
  <c r="S13" s="1"/>
  <c r="I12"/>
  <c r="J12" s="1"/>
  <c r="K12" s="1"/>
  <c r="S12" s="1"/>
  <c r="I11"/>
  <c r="J11" s="1"/>
  <c r="K11" s="1"/>
  <c r="S11" s="1"/>
  <c r="I10"/>
  <c r="J10" s="1"/>
  <c r="K10" s="1"/>
  <c r="S10" s="1"/>
  <c r="I9"/>
  <c r="J9" s="1"/>
  <c r="K9" s="1"/>
  <c r="S9" s="1"/>
  <c r="I8"/>
  <c r="J8" s="1"/>
  <c r="K8" s="1"/>
  <c r="S8" s="1"/>
  <c r="S22" l="1"/>
  <c r="S59"/>
  <c r="Q30"/>
  <c r="M30"/>
  <c r="N30" s="1"/>
  <c r="Q13"/>
  <c r="O13"/>
  <c r="M13"/>
  <c r="R13"/>
  <c r="P13"/>
  <c r="N13"/>
  <c r="R14"/>
  <c r="P14"/>
  <c r="Q14"/>
  <c r="O14"/>
  <c r="M14"/>
  <c r="N14" s="1"/>
  <c r="Q17"/>
  <c r="O17"/>
  <c r="M17"/>
  <c r="R17"/>
  <c r="P17"/>
  <c r="N17"/>
  <c r="Q18"/>
  <c r="R18"/>
  <c r="P18"/>
  <c r="M18"/>
  <c r="N18" s="1"/>
  <c r="R19"/>
  <c r="P19"/>
  <c r="Q19"/>
  <c r="O19"/>
  <c r="M19"/>
  <c r="N19" s="1"/>
  <c r="Q9"/>
  <c r="M9"/>
  <c r="R9"/>
  <c r="P9"/>
  <c r="N9"/>
  <c r="O9"/>
  <c r="P10"/>
  <c r="Q10"/>
  <c r="O10"/>
  <c r="M10"/>
  <c r="N10" s="1"/>
  <c r="R10"/>
  <c r="P8"/>
  <c r="Q8"/>
  <c r="O8"/>
  <c r="M8"/>
  <c r="N8" s="1"/>
  <c r="R8"/>
  <c r="Q11"/>
  <c r="M11"/>
  <c r="R11"/>
  <c r="P11"/>
  <c r="N11"/>
  <c r="O11"/>
  <c r="R12"/>
  <c r="P12"/>
  <c r="Q12"/>
  <c r="O12"/>
  <c r="M12"/>
  <c r="N12" s="1"/>
  <c r="Q15"/>
  <c r="O15"/>
  <c r="M15"/>
  <c r="R15"/>
  <c r="P15"/>
  <c r="N15"/>
  <c r="R16"/>
  <c r="P16"/>
  <c r="Q16"/>
  <c r="O16"/>
  <c r="M16"/>
  <c r="N16" s="1"/>
  <c r="Q20"/>
  <c r="O20"/>
  <c r="M20"/>
  <c r="R20"/>
  <c r="P20"/>
  <c r="N20"/>
  <c r="R21"/>
  <c r="P21"/>
  <c r="O21"/>
  <c r="M21"/>
  <c r="N21" s="1"/>
  <c r="Q21"/>
  <c r="Q26"/>
  <c r="O26"/>
  <c r="M26"/>
  <c r="R26"/>
  <c r="N26"/>
  <c r="P26"/>
  <c r="I23"/>
  <c r="J23" s="1"/>
  <c r="K23" s="1"/>
  <c r="S23" s="1"/>
  <c r="R30"/>
  <c r="P30"/>
  <c r="O30"/>
  <c r="R32"/>
  <c r="P32"/>
  <c r="Q32"/>
  <c r="O32"/>
  <c r="M32"/>
  <c r="N32" s="1"/>
  <c r="Q33"/>
  <c r="O33"/>
  <c r="M33"/>
  <c r="R33"/>
  <c r="P33"/>
  <c r="N33"/>
  <c r="Q37"/>
  <c r="O37"/>
  <c r="M37"/>
  <c r="R37"/>
  <c r="P37"/>
  <c r="N37"/>
  <c r="R40"/>
  <c r="P40"/>
  <c r="Q40"/>
  <c r="O40"/>
  <c r="M40"/>
  <c r="N40" s="1"/>
  <c r="Q41"/>
  <c r="O41"/>
  <c r="M41"/>
  <c r="R41"/>
  <c r="P41"/>
  <c r="N41"/>
  <c r="I46"/>
  <c r="J46" s="1"/>
  <c r="K46" s="1"/>
  <c r="S46" s="1"/>
  <c r="I45"/>
  <c r="J45" s="1"/>
  <c r="K45" s="1"/>
  <c r="S45" s="1"/>
  <c r="Q47"/>
  <c r="O47"/>
  <c r="M47"/>
  <c r="R47"/>
  <c r="P47"/>
  <c r="N47"/>
  <c r="Q22"/>
  <c r="O22"/>
  <c r="M22"/>
  <c r="N22" s="1"/>
  <c r="P22"/>
  <c r="I27"/>
  <c r="J27" s="1"/>
  <c r="K27" s="1"/>
  <c r="S27" s="1"/>
  <c r="Q31"/>
  <c r="O31"/>
  <c r="M31"/>
  <c r="R31"/>
  <c r="P31"/>
  <c r="N31"/>
  <c r="R34"/>
  <c r="P34"/>
  <c r="Q34"/>
  <c r="O34"/>
  <c r="M34"/>
  <c r="N34" s="1"/>
  <c r="Q35"/>
  <c r="O35"/>
  <c r="M35"/>
  <c r="R35"/>
  <c r="P35"/>
  <c r="N35"/>
  <c r="R38"/>
  <c r="P38"/>
  <c r="Q38"/>
  <c r="O38"/>
  <c r="M38"/>
  <c r="N38" s="1"/>
  <c r="Q39"/>
  <c r="O39"/>
  <c r="M39"/>
  <c r="R39"/>
  <c r="P39"/>
  <c r="N39"/>
  <c r="R42"/>
  <c r="P42"/>
  <c r="Q42"/>
  <c r="O42"/>
  <c r="M42"/>
  <c r="N42" s="1"/>
  <c r="Q43"/>
  <c r="O43"/>
  <c r="M43"/>
  <c r="R43"/>
  <c r="P43"/>
  <c r="N43"/>
  <c r="I52"/>
  <c r="J52" s="1"/>
  <c r="K52" s="1"/>
  <c r="S52" s="1"/>
  <c r="I50"/>
  <c r="J50" s="1"/>
  <c r="K50" s="1"/>
  <c r="S50" s="1"/>
  <c r="R51"/>
  <c r="P51"/>
  <c r="Q51"/>
  <c r="O51"/>
  <c r="M51"/>
  <c r="N51" s="1"/>
  <c r="Q49"/>
  <c r="O49"/>
  <c r="M49"/>
  <c r="P49"/>
  <c r="R53"/>
  <c r="P53"/>
  <c r="Q53"/>
  <c r="O53"/>
  <c r="M53"/>
  <c r="N53" s="1"/>
  <c r="R57"/>
  <c r="P57"/>
  <c r="Q57"/>
  <c r="O57"/>
  <c r="M57"/>
  <c r="N57" s="1"/>
  <c r="Q56"/>
  <c r="O56"/>
  <c r="M56"/>
  <c r="R56"/>
  <c r="P56"/>
  <c r="N56"/>
  <c r="I36"/>
  <c r="J36" s="1"/>
  <c r="K36" s="1"/>
  <c r="S36" s="1"/>
  <c r="I44"/>
  <c r="J44" s="1"/>
  <c r="K44" s="1"/>
  <c r="S44" s="1"/>
  <c r="I48"/>
  <c r="J48" s="1"/>
  <c r="K48" s="1"/>
  <c r="S48" s="1"/>
  <c r="N49"/>
  <c r="R49"/>
  <c r="Q54"/>
  <c r="O54"/>
  <c r="M54"/>
  <c r="R54"/>
  <c r="P54"/>
  <c r="N54"/>
  <c r="R55"/>
  <c r="P55"/>
  <c r="Q55"/>
  <c r="O55"/>
  <c r="M55"/>
  <c r="N55" s="1"/>
  <c r="R58"/>
  <c r="P58"/>
  <c r="O58"/>
  <c r="M58"/>
  <c r="N58" s="1"/>
  <c r="Q58"/>
  <c r="I60"/>
  <c r="J60" s="1"/>
  <c r="K60" s="1"/>
  <c r="S60" s="1"/>
  <c r="R68"/>
  <c r="P68"/>
  <c r="Q68"/>
  <c r="O68"/>
  <c r="M68"/>
  <c r="N68" s="1"/>
  <c r="Q69"/>
  <c r="O69"/>
  <c r="M69"/>
  <c r="R69"/>
  <c r="P69"/>
  <c r="N69"/>
  <c r="Q59"/>
  <c r="O59"/>
  <c r="M59"/>
  <c r="N59" s="1"/>
  <c r="P59"/>
  <c r="Q67"/>
  <c r="O67"/>
  <c r="M67"/>
  <c r="R67"/>
  <c r="P67"/>
  <c r="N67"/>
  <c r="Q71"/>
  <c r="O71"/>
  <c r="M71"/>
  <c r="R71"/>
  <c r="P71"/>
  <c r="N71"/>
  <c r="R70"/>
  <c r="P70"/>
  <c r="Q70"/>
  <c r="O70"/>
  <c r="M70"/>
  <c r="N70" s="1"/>
  <c r="F11" i="14"/>
  <c r="L11" l="1"/>
  <c r="K11"/>
  <c r="J11"/>
  <c r="I11"/>
  <c r="H11"/>
  <c r="I61" i="15"/>
  <c r="J61" s="1"/>
  <c r="K61" s="1"/>
  <c r="S61" s="1"/>
  <c r="R44"/>
  <c r="P44"/>
  <c r="Q44"/>
  <c r="O44"/>
  <c r="M44"/>
  <c r="N44" s="1"/>
  <c r="Q52"/>
  <c r="O52"/>
  <c r="M52"/>
  <c r="R52"/>
  <c r="P52"/>
  <c r="N52"/>
  <c r="R27"/>
  <c r="P27"/>
  <c r="Q27"/>
  <c r="M27"/>
  <c r="N27" s="1"/>
  <c r="O27"/>
  <c r="Q45"/>
  <c r="O45"/>
  <c r="M45"/>
  <c r="R45"/>
  <c r="P45"/>
  <c r="N45"/>
  <c r="I25"/>
  <c r="J25" s="1"/>
  <c r="K25" s="1"/>
  <c r="S25" s="1"/>
  <c r="I24"/>
  <c r="J24" s="1"/>
  <c r="K24" s="1"/>
  <c r="S24" s="1"/>
  <c r="R60"/>
  <c r="P60"/>
  <c r="O60"/>
  <c r="Q60"/>
  <c r="M60"/>
  <c r="N60" s="1"/>
  <c r="R48"/>
  <c r="P48"/>
  <c r="Q48"/>
  <c r="O48"/>
  <c r="M48"/>
  <c r="N48" s="1"/>
  <c r="R36"/>
  <c r="P36"/>
  <c r="Q36"/>
  <c r="O36"/>
  <c r="M36"/>
  <c r="N36" s="1"/>
  <c r="Q50"/>
  <c r="O50"/>
  <c r="M50"/>
  <c r="R50"/>
  <c r="P50"/>
  <c r="N50"/>
  <c r="I29"/>
  <c r="J29" s="1"/>
  <c r="K29" s="1"/>
  <c r="S29" s="1"/>
  <c r="I28"/>
  <c r="J28" s="1"/>
  <c r="K28" s="1"/>
  <c r="S28" s="1"/>
  <c r="R46"/>
  <c r="P46"/>
  <c r="Q46"/>
  <c r="O46"/>
  <c r="M46"/>
  <c r="N46" s="1"/>
  <c r="R23"/>
  <c r="P23"/>
  <c r="O23"/>
  <c r="Q23"/>
  <c r="M23"/>
  <c r="N23" s="1"/>
  <c r="Q28" l="1"/>
  <c r="O28"/>
  <c r="M28"/>
  <c r="P28"/>
  <c r="R28"/>
  <c r="N28"/>
  <c r="Q24"/>
  <c r="O24"/>
  <c r="M24"/>
  <c r="R24"/>
  <c r="N24"/>
  <c r="P24"/>
  <c r="Q61"/>
  <c r="O61"/>
  <c r="M61"/>
  <c r="R61"/>
  <c r="N61"/>
  <c r="P61"/>
  <c r="R29"/>
  <c r="P29"/>
  <c r="O29"/>
  <c r="Q29"/>
  <c r="M29"/>
  <c r="N29" s="1"/>
  <c r="R25"/>
  <c r="P25"/>
  <c r="Q25"/>
  <c r="M25"/>
  <c r="N25" s="1"/>
  <c r="O25"/>
  <c r="I62"/>
  <c r="J62" s="1"/>
  <c r="K62" s="1"/>
  <c r="S62" s="1"/>
  <c r="R62" l="1"/>
  <c r="P62"/>
  <c r="Q62"/>
  <c r="M62"/>
  <c r="N62" s="1"/>
  <c r="O62"/>
  <c r="I63"/>
  <c r="J63" s="1"/>
  <c r="K63" s="1"/>
  <c r="S63" s="1"/>
  <c r="Q63" l="1"/>
  <c r="O63"/>
  <c r="M63"/>
  <c r="P63"/>
  <c r="R63"/>
  <c r="N63"/>
  <c r="I64"/>
  <c r="J64" s="1"/>
  <c r="K64" s="1"/>
  <c r="S64" s="1"/>
  <c r="R64" l="1"/>
  <c r="P64"/>
  <c r="O64"/>
  <c r="Q64"/>
  <c r="M64"/>
  <c r="N64" s="1"/>
  <c r="I66"/>
  <c r="J66" s="1"/>
  <c r="K66" s="1"/>
  <c r="S66" s="1"/>
  <c r="I65"/>
  <c r="J65" s="1"/>
  <c r="K65" s="1"/>
  <c r="S65" s="1"/>
  <c r="Q65" l="1"/>
  <c r="O65"/>
  <c r="M65"/>
  <c r="N65" s="1"/>
  <c r="R65"/>
  <c r="P65"/>
  <c r="R66"/>
  <c r="P66"/>
  <c r="Q66"/>
  <c r="O66"/>
  <c r="M66"/>
  <c r="N66" s="1"/>
  <c r="F12" i="12"/>
  <c r="K12"/>
  <c r="L12"/>
  <c r="M12"/>
  <c r="N12"/>
  <c r="P12"/>
  <c r="F13"/>
  <c r="K13"/>
  <c r="L13"/>
  <c r="M13"/>
  <c r="N13"/>
  <c r="P13"/>
  <c r="E14"/>
  <c r="F14" s="1"/>
  <c r="K14"/>
  <c r="L14" s="1"/>
  <c r="M14"/>
  <c r="N14" s="1"/>
  <c r="P14"/>
  <c r="E15"/>
  <c r="F15"/>
  <c r="K15"/>
  <c r="L15"/>
  <c r="M15"/>
  <c r="N15"/>
  <c r="P15"/>
  <c r="E16"/>
  <c r="F16" s="1"/>
  <c r="K16"/>
  <c r="L16" s="1"/>
  <c r="M16"/>
  <c r="N16" s="1"/>
  <c r="P16"/>
  <c r="E17"/>
  <c r="F17"/>
  <c r="K17"/>
  <c r="L17"/>
  <c r="M17"/>
  <c r="N17"/>
  <c r="P17"/>
  <c r="E18"/>
  <c r="F18" s="1"/>
  <c r="K18"/>
  <c r="L18" s="1"/>
  <c r="M18"/>
  <c r="N18" s="1"/>
  <c r="P18"/>
  <c r="E19"/>
  <c r="F19"/>
  <c r="K19"/>
  <c r="L19"/>
  <c r="M19"/>
  <c r="N19"/>
  <c r="P19"/>
  <c r="E20"/>
  <c r="F20" s="1"/>
  <c r="K20"/>
  <c r="L20" s="1"/>
  <c r="M20"/>
  <c r="N20" s="1"/>
  <c r="P20"/>
  <c r="E21"/>
  <c r="F21"/>
  <c r="K21"/>
  <c r="L21"/>
  <c r="M21"/>
  <c r="N21"/>
  <c r="P21"/>
  <c r="E22"/>
  <c r="F22" s="1"/>
  <c r="K22"/>
  <c r="L22" s="1"/>
  <c r="M22"/>
  <c r="N22" s="1"/>
  <c r="P22"/>
  <c r="E23"/>
  <c r="F23"/>
  <c r="K23"/>
  <c r="L23"/>
  <c r="M23"/>
  <c r="N23"/>
  <c r="P23"/>
  <c r="E24"/>
  <c r="F24" s="1"/>
  <c r="K24"/>
  <c r="L24" s="1"/>
  <c r="M24"/>
  <c r="N24" s="1"/>
  <c r="P24"/>
  <c r="E25"/>
  <c r="F25"/>
  <c r="K25"/>
  <c r="L25"/>
  <c r="M25"/>
  <c r="N25"/>
  <c r="P25"/>
  <c r="E26"/>
  <c r="F26" s="1"/>
  <c r="K26"/>
  <c r="L26" s="1"/>
  <c r="M26"/>
  <c r="N26" s="1"/>
  <c r="P26"/>
  <c r="E27"/>
  <c r="F27"/>
  <c r="K27"/>
  <c r="L27"/>
  <c r="M27"/>
  <c r="N27"/>
  <c r="P27"/>
  <c r="E11" i="8" l="1"/>
  <c r="F11" s="1"/>
  <c r="E12"/>
  <c r="F12" s="1"/>
  <c r="K12" s="1"/>
  <c r="E13"/>
  <c r="F13"/>
  <c r="E14"/>
  <c r="F14" s="1"/>
  <c r="E15"/>
  <c r="F15" s="1"/>
  <c r="E16"/>
  <c r="F16" s="1"/>
  <c r="E17"/>
  <c r="F17"/>
  <c r="E18"/>
  <c r="F18" s="1"/>
  <c r="E19"/>
  <c r="F19" s="1"/>
  <c r="E21"/>
  <c r="F21" s="1"/>
  <c r="E22"/>
  <c r="F22" s="1"/>
  <c r="E23"/>
  <c r="F23" s="1"/>
  <c r="E24"/>
  <c r="F24" s="1"/>
  <c r="E25"/>
  <c r="F25" s="1"/>
  <c r="E26"/>
  <c r="F26" s="1"/>
  <c r="E27"/>
  <c r="F27" s="1"/>
  <c r="E28"/>
  <c r="F28" s="1"/>
  <c r="E29"/>
  <c r="F29" s="1"/>
  <c r="E30"/>
  <c r="F30" s="1"/>
  <c r="E31"/>
  <c r="F31" s="1"/>
  <c r="E32"/>
  <c r="F32" s="1"/>
  <c r="E33"/>
  <c r="F33" s="1"/>
  <c r="E34"/>
  <c r="F34" s="1"/>
  <c r="E35"/>
  <c r="F35" s="1"/>
  <c r="E36"/>
  <c r="F36" s="1"/>
  <c r="E37"/>
  <c r="F37" s="1"/>
  <c r="E38"/>
  <c r="F38" s="1"/>
  <c r="E39"/>
  <c r="F39" s="1"/>
  <c r="E40"/>
  <c r="F40"/>
  <c r="F41"/>
  <c r="E42"/>
  <c r="F42" s="1"/>
  <c r="E43"/>
  <c r="F43" s="1"/>
  <c r="E44"/>
  <c r="F44" s="1"/>
  <c r="E45"/>
  <c r="F45" s="1"/>
  <c r="E46"/>
  <c r="F46" s="1"/>
  <c r="E47"/>
  <c r="F47" s="1"/>
  <c r="E48"/>
  <c r="F48" s="1"/>
  <c r="E49"/>
  <c r="F49" s="1"/>
  <c r="E50"/>
  <c r="E52"/>
  <c r="E53"/>
  <c r="F53" s="1"/>
  <c r="E54"/>
  <c r="E55"/>
  <c r="F55" s="1"/>
  <c r="E56"/>
  <c r="E57"/>
  <c r="F57" s="1"/>
  <c r="E58"/>
  <c r="E59"/>
  <c r="F59" s="1"/>
  <c r="E60"/>
  <c r="E61"/>
  <c r="F61" s="1"/>
  <c r="E62"/>
  <c r="E63"/>
  <c r="F63" s="1"/>
  <c r="E64"/>
  <c r="E65"/>
  <c r="F65"/>
  <c r="E66"/>
  <c r="E67"/>
  <c r="F67" s="1"/>
  <c r="E68"/>
  <c r="E69"/>
  <c r="F69" s="1"/>
  <c r="E70"/>
  <c r="E71"/>
  <c r="F71" s="1"/>
  <c r="F72"/>
  <c r="E73"/>
  <c r="F73" s="1"/>
  <c r="E74"/>
  <c r="F74" s="1"/>
  <c r="E75"/>
  <c r="E76"/>
  <c r="F76" s="1"/>
  <c r="E77"/>
  <c r="F77" s="1"/>
  <c r="E78"/>
  <c r="E79"/>
  <c r="F79" s="1"/>
  <c r="E80"/>
  <c r="E84"/>
  <c r="E86"/>
  <c r="F86" s="1"/>
  <c r="E88"/>
  <c r="E90"/>
  <c r="F90" s="1"/>
  <c r="E92"/>
  <c r="E94"/>
  <c r="F94" s="1"/>
  <c r="E96"/>
  <c r="E98"/>
  <c r="F98" s="1"/>
  <c r="E100"/>
  <c r="E102"/>
  <c r="F102" s="1"/>
  <c r="E103"/>
  <c r="F103" s="1"/>
  <c r="E105"/>
  <c r="F105" s="1"/>
  <c r="E107"/>
  <c r="F107" s="1"/>
  <c r="E110"/>
  <c r="E117"/>
  <c r="F117" s="1"/>
  <c r="E121"/>
  <c r="F121" s="1"/>
  <c r="E125"/>
  <c r="F125" s="1"/>
  <c r="E129"/>
  <c r="F129" s="1"/>
  <c r="E133"/>
  <c r="F133" s="1"/>
  <c r="E134"/>
  <c r="F134" s="1"/>
  <c r="E136"/>
  <c r="F136" s="1"/>
  <c r="E160"/>
  <c r="F160" s="1"/>
  <c r="L165"/>
  <c r="O165"/>
  <c r="P165" s="1"/>
  <c r="R165"/>
  <c r="E13" i="5"/>
  <c r="F13" s="1"/>
  <c r="G13" s="1"/>
  <c r="H13" s="1"/>
  <c r="I13" s="1"/>
  <c r="E17"/>
  <c r="F17" s="1"/>
  <c r="G17" s="1"/>
  <c r="E18"/>
  <c r="F18" s="1"/>
  <c r="G18" s="1"/>
  <c r="E22"/>
  <c r="F22" s="1"/>
  <c r="G22" s="1"/>
  <c r="I22" s="1"/>
  <c r="E23"/>
  <c r="F23" s="1"/>
  <c r="G23" s="1"/>
  <c r="I23" s="1"/>
  <c r="E27"/>
  <c r="F27" s="1"/>
  <c r="G27" s="1"/>
  <c r="I27" s="1"/>
  <c r="E28"/>
  <c r="F28" s="1"/>
  <c r="G28" s="1"/>
  <c r="I28" s="1"/>
  <c r="E29"/>
  <c r="F29" s="1"/>
  <c r="G29" s="1"/>
  <c r="I29" s="1"/>
  <c r="E30"/>
  <c r="F30" s="1"/>
  <c r="G30" s="1"/>
  <c r="I30" s="1"/>
  <c r="E32"/>
  <c r="F32" s="1"/>
  <c r="G32" s="1"/>
  <c r="I32" s="1"/>
  <c r="E33"/>
  <c r="F33" s="1"/>
  <c r="G33" s="1"/>
  <c r="I33" s="1"/>
  <c r="E34"/>
  <c r="F34" s="1"/>
  <c r="G34" s="1"/>
  <c r="I34" s="1"/>
  <c r="E35"/>
  <c r="F35" s="1"/>
  <c r="G35" s="1"/>
  <c r="I35" s="1"/>
  <c r="E37"/>
  <c r="F37" s="1"/>
  <c r="G37" s="1"/>
  <c r="I37" s="1"/>
  <c r="E38"/>
  <c r="F38" s="1"/>
  <c r="G38" s="1"/>
  <c r="I38" s="1"/>
  <c r="E40"/>
  <c r="F40" s="1"/>
  <c r="G40" s="1"/>
  <c r="I40" s="1"/>
  <c r="E42"/>
  <c r="F42" s="1"/>
  <c r="G42" s="1"/>
  <c r="I42" s="1"/>
  <c r="E43"/>
  <c r="F43" s="1"/>
  <c r="G43" s="1"/>
  <c r="I43" s="1"/>
  <c r="E45"/>
  <c r="F45" s="1"/>
  <c r="G45" s="1"/>
  <c r="I45" s="1"/>
  <c r="E47"/>
  <c r="F47" s="1"/>
  <c r="G47" s="1"/>
  <c r="I47" s="1"/>
  <c r="E48"/>
  <c r="F48" s="1"/>
  <c r="G48" s="1"/>
  <c r="I48" s="1"/>
  <c r="E50"/>
  <c r="F50" s="1"/>
  <c r="G50" s="1"/>
  <c r="I50" s="1"/>
  <c r="E52"/>
  <c r="F52" s="1"/>
  <c r="G52" s="1"/>
  <c r="I52" s="1"/>
  <c r="E13" i="6"/>
  <c r="F13" s="1"/>
  <c r="G13" s="1"/>
  <c r="E14"/>
  <c r="F14" s="1"/>
  <c r="G14" s="1"/>
  <c r="E16"/>
  <c r="F16" s="1"/>
  <c r="G16" s="1"/>
  <c r="E18"/>
  <c r="F18" s="1"/>
  <c r="G18" s="1"/>
  <c r="E19"/>
  <c r="F19"/>
  <c r="G19" s="1"/>
  <c r="E20"/>
  <c r="F20" s="1"/>
  <c r="G20" s="1"/>
  <c r="E22"/>
  <c r="F22" s="1"/>
  <c r="G22" s="1"/>
  <c r="E23"/>
  <c r="F23"/>
  <c r="G23" s="1"/>
  <c r="E24"/>
  <c r="F24" s="1"/>
  <c r="G24" s="1"/>
  <c r="E27"/>
  <c r="F27" s="1"/>
  <c r="G27" s="1"/>
  <c r="E30"/>
  <c r="F30" s="1"/>
  <c r="G30" s="1"/>
  <c r="E31"/>
  <c r="F31" s="1"/>
  <c r="G31" s="1"/>
  <c r="E36"/>
  <c r="F36" s="1"/>
  <c r="G36" s="1"/>
  <c r="H36" s="1"/>
  <c r="I36" s="1"/>
  <c r="E37"/>
  <c r="F37" s="1"/>
  <c r="G37" s="1"/>
  <c r="H37" s="1"/>
  <c r="I37" s="1"/>
  <c r="E38"/>
  <c r="F38" s="1"/>
  <c r="G38" s="1"/>
  <c r="H38" s="1"/>
  <c r="I38" s="1"/>
  <c r="E39"/>
  <c r="F39" s="1"/>
  <c r="G39" s="1"/>
  <c r="H39" s="1"/>
  <c r="I39" s="1"/>
  <c r="E40"/>
  <c r="F40" s="1"/>
  <c r="G40" s="1"/>
  <c r="H40" s="1"/>
  <c r="I40" s="1"/>
  <c r="E43"/>
  <c r="F43" s="1"/>
  <c r="G43" s="1"/>
  <c r="H43" s="1"/>
  <c r="I43" s="1"/>
  <c r="E44"/>
  <c r="F44" s="1"/>
  <c r="G44" s="1"/>
  <c r="E45"/>
  <c r="F45" s="1"/>
  <c r="G45" s="1"/>
  <c r="H45" s="1"/>
  <c r="I45" s="1"/>
  <c r="E46"/>
  <c r="F46" s="1"/>
  <c r="G46" s="1"/>
  <c r="E47"/>
  <c r="F47" s="1"/>
  <c r="G47" s="1"/>
  <c r="H47" s="1"/>
  <c r="I47" s="1"/>
  <c r="E50"/>
  <c r="F50" s="1"/>
  <c r="G50"/>
  <c r="E51"/>
  <c r="F51" s="1"/>
  <c r="G51" s="1"/>
  <c r="H51" s="1"/>
  <c r="I51" s="1"/>
  <c r="E52"/>
  <c r="F52" s="1"/>
  <c r="G52" s="1"/>
  <c r="E53"/>
  <c r="F53" s="1"/>
  <c r="G53" s="1"/>
  <c r="H53" s="1"/>
  <c r="I53" s="1"/>
  <c r="E58"/>
  <c r="F58" s="1"/>
  <c r="G58" s="1"/>
  <c r="E59"/>
  <c r="F59" s="1"/>
  <c r="G59" s="1"/>
  <c r="H59" s="1"/>
  <c r="I59" s="1"/>
  <c r="E60"/>
  <c r="F60" s="1"/>
  <c r="G60" s="1"/>
  <c r="H60" s="1"/>
  <c r="I60" s="1"/>
  <c r="E61"/>
  <c r="F61" s="1"/>
  <c r="G61" s="1"/>
  <c r="H61" s="1"/>
  <c r="I61" s="1"/>
  <c r="E66"/>
  <c r="F66" s="1"/>
  <c r="G66" s="1"/>
  <c r="H66" s="1"/>
  <c r="I66" s="1"/>
  <c r="E67"/>
  <c r="F67" s="1"/>
  <c r="G67" s="1"/>
  <c r="H67" s="1"/>
  <c r="I67" s="1"/>
  <c r="E68"/>
  <c r="F68" s="1"/>
  <c r="G68" s="1"/>
  <c r="H68" s="1"/>
  <c r="I68" s="1"/>
  <c r="E69"/>
  <c r="F69" s="1"/>
  <c r="G69" s="1"/>
  <c r="H69" s="1"/>
  <c r="I69" s="1"/>
  <c r="E71"/>
  <c r="F71" s="1"/>
  <c r="G71" s="1"/>
  <c r="H71" s="1"/>
  <c r="I71" s="1"/>
  <c r="E73"/>
  <c r="F73" s="1"/>
  <c r="G73" s="1"/>
  <c r="H73" s="1"/>
  <c r="I73" s="1"/>
  <c r="E74"/>
  <c r="F74" s="1"/>
  <c r="G74" s="1"/>
  <c r="H74" s="1"/>
  <c r="I74" s="1"/>
  <c r="F13" i="7"/>
  <c r="G13" s="1"/>
  <c r="F14"/>
  <c r="G14" s="1"/>
  <c r="H14" s="1"/>
  <c r="F15"/>
  <c r="G15" s="1"/>
  <c r="H15" s="1"/>
  <c r="F16"/>
  <c r="G16" s="1"/>
  <c r="H16" s="1"/>
  <c r="F17"/>
  <c r="G17" s="1"/>
  <c r="H17" s="1"/>
  <c r="E18"/>
  <c r="F18"/>
  <c r="G18" s="1"/>
  <c r="H18" s="1"/>
  <c r="F19"/>
  <c r="G19" s="1"/>
  <c r="H19" s="1"/>
  <c r="F20"/>
  <c r="G20" s="1"/>
  <c r="H20" s="1"/>
  <c r="F21"/>
  <c r="G21" s="1"/>
  <c r="H21" s="1"/>
  <c r="F22"/>
  <c r="G22" s="1"/>
  <c r="H22" s="1"/>
  <c r="F23"/>
  <c r="G23" s="1"/>
  <c r="H23" s="1"/>
  <c r="F24"/>
  <c r="G24" s="1"/>
  <c r="H24" s="1"/>
  <c r="F25"/>
  <c r="G25" s="1"/>
  <c r="H25" s="1"/>
  <c r="F26"/>
  <c r="G26"/>
  <c r="H26" s="1"/>
  <c r="F27"/>
  <c r="G27"/>
  <c r="H27" s="1"/>
  <c r="F28"/>
  <c r="G28"/>
  <c r="H28" s="1"/>
  <c r="F29"/>
  <c r="G29" s="1"/>
  <c r="H29" s="1"/>
  <c r="F30"/>
  <c r="G30" s="1"/>
  <c r="H30" s="1"/>
  <c r="F31"/>
  <c r="G31" s="1"/>
  <c r="H31" s="1"/>
  <c r="F32"/>
  <c r="G32" s="1"/>
  <c r="H32" s="1"/>
  <c r="F33"/>
  <c r="G33" s="1"/>
  <c r="H33" s="1"/>
  <c r="F34"/>
  <c r="G34" s="1"/>
  <c r="H34" s="1"/>
  <c r="E35"/>
  <c r="F35" s="1"/>
  <c r="G35" s="1"/>
  <c r="H35" s="1"/>
  <c r="E36"/>
  <c r="F36" s="1"/>
  <c r="G36" s="1"/>
  <c r="H36" s="1"/>
  <c r="E37"/>
  <c r="F37" s="1"/>
  <c r="G37" s="1"/>
  <c r="H37" s="1"/>
  <c r="E38"/>
  <c r="F38"/>
  <c r="G38" s="1"/>
  <c r="H38" s="1"/>
  <c r="E39"/>
  <c r="F39"/>
  <c r="G39" s="1"/>
  <c r="H39" s="1"/>
  <c r="F40"/>
  <c r="G40" s="1"/>
  <c r="H40" s="1"/>
  <c r="E41"/>
  <c r="F41" s="1"/>
  <c r="G41" s="1"/>
  <c r="H41" s="1"/>
  <c r="F42"/>
  <c r="G42" s="1"/>
  <c r="H42" s="1"/>
  <c r="F43"/>
  <c r="G43" s="1"/>
  <c r="H43" s="1"/>
  <c r="F44"/>
  <c r="G44" s="1"/>
  <c r="H44" s="1"/>
  <c r="F45"/>
  <c r="G45" s="1"/>
  <c r="H45" s="1"/>
  <c r="F46"/>
  <c r="G46" s="1"/>
  <c r="H46" s="1"/>
  <c r="F47"/>
  <c r="G47"/>
  <c r="H47" s="1"/>
  <c r="F48"/>
  <c r="G48" s="1"/>
  <c r="H48" s="1"/>
  <c r="F49"/>
  <c r="G49"/>
  <c r="H49" s="1"/>
  <c r="F50"/>
  <c r="G50" s="1"/>
  <c r="H50" s="1"/>
  <c r="F51"/>
  <c r="G51"/>
  <c r="H51" s="1"/>
  <c r="F52"/>
  <c r="G52" s="1"/>
  <c r="H52" s="1"/>
  <c r="F53"/>
  <c r="G53" s="1"/>
  <c r="H53" s="1"/>
  <c r="F54"/>
  <c r="G54"/>
  <c r="H54" s="1"/>
  <c r="F55"/>
  <c r="G55" s="1"/>
  <c r="H55" s="1"/>
  <c r="F56"/>
  <c r="G56" s="1"/>
  <c r="H56" s="1"/>
  <c r="F57"/>
  <c r="G57" s="1"/>
  <c r="H57" s="1"/>
  <c r="F58"/>
  <c r="G58"/>
  <c r="H58" s="1"/>
  <c r="F59"/>
  <c r="G59" s="1"/>
  <c r="H59" s="1"/>
  <c r="F60"/>
  <c r="G60"/>
  <c r="H60" s="1"/>
  <c r="F61"/>
  <c r="G61" s="1"/>
  <c r="H61" s="1"/>
  <c r="F62"/>
  <c r="G62" s="1"/>
  <c r="H62" s="1"/>
  <c r="F63"/>
  <c r="G63" s="1"/>
  <c r="H63" s="1"/>
  <c r="F64"/>
  <c r="G64" s="1"/>
  <c r="H64" s="1"/>
  <c r="F65"/>
  <c r="G65"/>
  <c r="H65" s="1"/>
  <c r="F66"/>
  <c r="G66" s="1"/>
  <c r="H66" s="1"/>
  <c r="F67"/>
  <c r="G67"/>
  <c r="H67" s="1"/>
  <c r="F68"/>
  <c r="G68" s="1"/>
  <c r="H68" s="1"/>
  <c r="F69"/>
  <c r="G69"/>
  <c r="H69" s="1"/>
  <c r="F70"/>
  <c r="G70" s="1"/>
  <c r="H70" s="1"/>
  <c r="F71"/>
  <c r="G71"/>
  <c r="H71" s="1"/>
  <c r="F72"/>
  <c r="G72" s="1"/>
  <c r="H72" s="1"/>
  <c r="F73"/>
  <c r="G73"/>
  <c r="H73" s="1"/>
  <c r="F74"/>
  <c r="G74"/>
  <c r="H74" s="1"/>
  <c r="F75"/>
  <c r="G75" s="1"/>
  <c r="H75" s="1"/>
  <c r="F76"/>
  <c r="G76"/>
  <c r="H76" s="1"/>
  <c r="F77"/>
  <c r="G77" s="1"/>
  <c r="H77" s="1"/>
  <c r="F78"/>
  <c r="G78"/>
  <c r="H78" s="1"/>
  <c r="F79"/>
  <c r="G79"/>
  <c r="H79" s="1"/>
  <c r="F80"/>
  <c r="G80"/>
  <c r="H80" s="1"/>
  <c r="F81"/>
  <c r="G81" s="1"/>
  <c r="H81" s="1"/>
  <c r="F82"/>
  <c r="G82" s="1"/>
  <c r="H82" s="1"/>
  <c r="F83"/>
  <c r="G83" s="1"/>
  <c r="H83" s="1"/>
  <c r="F84"/>
  <c r="G84" s="1"/>
  <c r="H84" s="1"/>
  <c r="F85"/>
  <c r="G85" s="1"/>
  <c r="H85" s="1"/>
  <c r="F86"/>
  <c r="G86" s="1"/>
  <c r="H86" s="1"/>
  <c r="F87"/>
  <c r="G87" s="1"/>
  <c r="H87" s="1"/>
  <c r="F88"/>
  <c r="G88" s="1"/>
  <c r="H88" s="1"/>
  <c r="F89"/>
  <c r="G89"/>
  <c r="H89" s="1"/>
  <c r="F90"/>
  <c r="G90" s="1"/>
  <c r="H90" s="1"/>
  <c r="F91"/>
  <c r="G91" s="1"/>
  <c r="H91" s="1"/>
  <c r="F92"/>
  <c r="G92"/>
  <c r="H92" s="1"/>
  <c r="F93"/>
  <c r="G93"/>
  <c r="H93" s="1"/>
  <c r="F94"/>
  <c r="G94"/>
  <c r="H94" s="1"/>
  <c r="F95"/>
  <c r="G95"/>
  <c r="H95" s="1"/>
  <c r="F96"/>
  <c r="G96"/>
  <c r="H96" s="1"/>
  <c r="F97"/>
  <c r="G97" s="1"/>
  <c r="H97" s="1"/>
  <c r="F98"/>
  <c r="G98" s="1"/>
  <c r="H98" s="1"/>
  <c r="F99"/>
  <c r="G99"/>
  <c r="H99" s="1"/>
  <c r="F100"/>
  <c r="G100" s="1"/>
  <c r="H100" s="1"/>
  <c r="F101"/>
  <c r="G101"/>
  <c r="H101" s="1"/>
  <c r="G51" i="11"/>
  <c r="H51" s="1"/>
  <c r="S51" s="1"/>
  <c r="G50"/>
  <c r="H50" s="1"/>
  <c r="G49"/>
  <c r="H49" s="1"/>
  <c r="S49" s="1"/>
  <c r="G48"/>
  <c r="H48" s="1"/>
  <c r="S48" s="1"/>
  <c r="H47"/>
  <c r="H46"/>
  <c r="S46" s="1"/>
  <c r="H45"/>
  <c r="H44"/>
  <c r="S44" s="1"/>
  <c r="G34"/>
  <c r="G33"/>
  <c r="H33" s="1"/>
  <c r="G32"/>
  <c r="H32" s="1"/>
  <c r="G31"/>
  <c r="H31" s="1"/>
  <c r="H30"/>
  <c r="S30" s="1"/>
  <c r="H29"/>
  <c r="S29" s="1"/>
  <c r="H28"/>
  <c r="S28" s="1"/>
  <c r="H27"/>
  <c r="Q26"/>
  <c r="O26"/>
  <c r="N26"/>
  <c r="M26"/>
  <c r="L26"/>
  <c r="G17"/>
  <c r="H17" s="1"/>
  <c r="G16"/>
  <c r="H16" s="1"/>
  <c r="G15"/>
  <c r="G19" s="1"/>
  <c r="G14"/>
  <c r="G18" s="1"/>
  <c r="H13"/>
  <c r="H12"/>
  <c r="S12" s="1"/>
  <c r="H11"/>
  <c r="H10"/>
  <c r="E108" i="8" l="1"/>
  <c r="E20"/>
  <c r="R18"/>
  <c r="E156"/>
  <c r="F156" s="1"/>
  <c r="E152"/>
  <c r="F152" s="1"/>
  <c r="E164"/>
  <c r="F164" s="1"/>
  <c r="E148"/>
  <c r="F148" s="1"/>
  <c r="E138"/>
  <c r="F138" s="1"/>
  <c r="L12"/>
  <c r="O71" i="6"/>
  <c r="R71"/>
  <c r="R68"/>
  <c r="O68"/>
  <c r="R66"/>
  <c r="O66"/>
  <c r="R60"/>
  <c r="O60"/>
  <c r="O47"/>
  <c r="R47"/>
  <c r="O45"/>
  <c r="R45"/>
  <c r="O43"/>
  <c r="R43"/>
  <c r="O39"/>
  <c r="R39"/>
  <c r="R37"/>
  <c r="O37"/>
  <c r="E32"/>
  <c r="F32" s="1"/>
  <c r="G32" s="1"/>
  <c r="O73"/>
  <c r="R73"/>
  <c r="O69"/>
  <c r="R69"/>
  <c r="O67"/>
  <c r="R67"/>
  <c r="O61"/>
  <c r="R61"/>
  <c r="O59"/>
  <c r="R59"/>
  <c r="O53"/>
  <c r="R53"/>
  <c r="O51"/>
  <c r="R51"/>
  <c r="R40"/>
  <c r="O40"/>
  <c r="O36"/>
  <c r="R36"/>
  <c r="H44"/>
  <c r="I44" s="1"/>
  <c r="H31"/>
  <c r="I31" s="1"/>
  <c r="H58"/>
  <c r="I58" s="1"/>
  <c r="H52"/>
  <c r="I52" s="1"/>
  <c r="H50"/>
  <c r="I50" s="1"/>
  <c r="H32"/>
  <c r="I32" s="1"/>
  <c r="H27"/>
  <c r="I27" s="1"/>
  <c r="H23"/>
  <c r="I23" s="1"/>
  <c r="H22"/>
  <c r="I22" s="1"/>
  <c r="H19"/>
  <c r="I19" s="1"/>
  <c r="H18"/>
  <c r="I18" s="1"/>
  <c r="H14"/>
  <c r="I14" s="1"/>
  <c r="E63"/>
  <c r="F63" s="1"/>
  <c r="G63" s="1"/>
  <c r="H63" s="1"/>
  <c r="I63" s="1"/>
  <c r="E34"/>
  <c r="F34" s="1"/>
  <c r="G34" s="1"/>
  <c r="H34" s="1"/>
  <c r="I34" s="1"/>
  <c r="H30"/>
  <c r="I30" s="1"/>
  <c r="H24"/>
  <c r="I24" s="1"/>
  <c r="H20"/>
  <c r="I20" s="1"/>
  <c r="H16"/>
  <c r="I16" s="1"/>
  <c r="H13"/>
  <c r="I13" s="1"/>
  <c r="H46"/>
  <c r="I46" s="1"/>
  <c r="E72"/>
  <c r="F72" s="1"/>
  <c r="G72" s="1"/>
  <c r="H72" s="1"/>
  <c r="I72" s="1"/>
  <c r="E70"/>
  <c r="F70" s="1"/>
  <c r="G70" s="1"/>
  <c r="H70" s="1"/>
  <c r="I70" s="1"/>
  <c r="E64"/>
  <c r="E62"/>
  <c r="F62" s="1"/>
  <c r="G62" s="1"/>
  <c r="H62" s="1"/>
  <c r="I62" s="1"/>
  <c r="E41"/>
  <c r="F41" s="1"/>
  <c r="G41" s="1"/>
  <c r="H41" s="1"/>
  <c r="I41" s="1"/>
  <c r="E35"/>
  <c r="F35" s="1"/>
  <c r="G35" s="1"/>
  <c r="H35" s="1"/>
  <c r="I35" s="1"/>
  <c r="E33"/>
  <c r="F33" s="1"/>
  <c r="G33" s="1"/>
  <c r="E25"/>
  <c r="E21"/>
  <c r="F21" s="1"/>
  <c r="G21" s="1"/>
  <c r="E15"/>
  <c r="I17" i="5"/>
  <c r="H17"/>
  <c r="I18"/>
  <c r="H18"/>
  <c r="O13"/>
  <c r="E31"/>
  <c r="F31" s="1"/>
  <c r="G31" s="1"/>
  <c r="I31" s="1"/>
  <c r="E24"/>
  <c r="E19"/>
  <c r="E14"/>
  <c r="F14" s="1"/>
  <c r="G14" s="1"/>
  <c r="E41"/>
  <c r="F41" s="1"/>
  <c r="G41" s="1"/>
  <c r="I41" s="1"/>
  <c r="E39"/>
  <c r="F39" s="1"/>
  <c r="G39" s="1"/>
  <c r="I39" s="1"/>
  <c r="T45"/>
  <c r="O45"/>
  <c r="T47"/>
  <c r="O47"/>
  <c r="E46"/>
  <c r="F46" s="1"/>
  <c r="G46" s="1"/>
  <c r="I46" s="1"/>
  <c r="E44"/>
  <c r="F44" s="1"/>
  <c r="G44" s="1"/>
  <c r="I44" s="1"/>
  <c r="E36"/>
  <c r="F36" s="1"/>
  <c r="G36" s="1"/>
  <c r="I36" s="1"/>
  <c r="M29" i="11"/>
  <c r="L50"/>
  <c r="L31"/>
  <c r="S31"/>
  <c r="L33"/>
  <c r="S33"/>
  <c r="Q45"/>
  <c r="S45"/>
  <c r="O10"/>
  <c r="S10"/>
  <c r="L16"/>
  <c r="S16"/>
  <c r="Q11"/>
  <c r="S11"/>
  <c r="Q13"/>
  <c r="S13"/>
  <c r="L17"/>
  <c r="S17"/>
  <c r="M27"/>
  <c r="S27"/>
  <c r="L32"/>
  <c r="S32"/>
  <c r="L45"/>
  <c r="S47"/>
  <c r="Q47" s="1"/>
  <c r="L28"/>
  <c r="L13"/>
  <c r="Q28"/>
  <c r="L47"/>
  <c r="N45"/>
  <c r="N47"/>
  <c r="N30"/>
  <c r="N28"/>
  <c r="L30"/>
  <c r="Q30"/>
  <c r="N11"/>
  <c r="L11"/>
  <c r="N13"/>
  <c r="F108" i="8"/>
  <c r="E139"/>
  <c r="F139" s="1"/>
  <c r="F110"/>
  <c r="E141"/>
  <c r="F141" s="1"/>
  <c r="F100"/>
  <c r="E131"/>
  <c r="F96"/>
  <c r="E127"/>
  <c r="F92"/>
  <c r="E123"/>
  <c r="F88"/>
  <c r="E119"/>
  <c r="F84"/>
  <c r="E115"/>
  <c r="F80"/>
  <c r="E111"/>
  <c r="F78"/>
  <c r="E109"/>
  <c r="F75"/>
  <c r="E106"/>
  <c r="F70"/>
  <c r="E101"/>
  <c r="F68"/>
  <c r="E99"/>
  <c r="F66"/>
  <c r="E97"/>
  <c r="F64"/>
  <c r="E95"/>
  <c r="F62"/>
  <c r="E93"/>
  <c r="F60"/>
  <c r="E91"/>
  <c r="F58"/>
  <c r="E89"/>
  <c r="F56"/>
  <c r="E87"/>
  <c r="F54"/>
  <c r="E85"/>
  <c r="F52"/>
  <c r="E83"/>
  <c r="F50"/>
  <c r="E81"/>
  <c r="E104"/>
  <c r="R15"/>
  <c r="J13"/>
  <c r="M13" s="1"/>
  <c r="L13"/>
  <c r="O13"/>
  <c r="J11"/>
  <c r="M11" s="1"/>
  <c r="O11"/>
  <c r="R11"/>
  <c r="K13"/>
  <c r="O12"/>
  <c r="J12"/>
  <c r="M12" s="1"/>
  <c r="K11"/>
  <c r="T52" i="5"/>
  <c r="O52"/>
  <c r="M52"/>
  <c r="T48"/>
  <c r="O48"/>
  <c r="M48"/>
  <c r="T46"/>
  <c r="O46"/>
  <c r="M46"/>
  <c r="T50"/>
  <c r="O50"/>
  <c r="M50"/>
  <c r="T44"/>
  <c r="M44"/>
  <c r="O44"/>
  <c r="T42"/>
  <c r="M42"/>
  <c r="O42"/>
  <c r="T40"/>
  <c r="M40"/>
  <c r="O40"/>
  <c r="T38"/>
  <c r="M38"/>
  <c r="O38"/>
  <c r="T36"/>
  <c r="M36"/>
  <c r="O36"/>
  <c r="T34"/>
  <c r="M34"/>
  <c r="O34"/>
  <c r="M33"/>
  <c r="O33"/>
  <c r="T33"/>
  <c r="M32"/>
  <c r="O32"/>
  <c r="T32"/>
  <c r="M31"/>
  <c r="O31"/>
  <c r="T31"/>
  <c r="M30"/>
  <c r="O30"/>
  <c r="T30"/>
  <c r="M29"/>
  <c r="O29"/>
  <c r="T29"/>
  <c r="M28"/>
  <c r="O28"/>
  <c r="T28"/>
  <c r="M27"/>
  <c r="O27"/>
  <c r="T27"/>
  <c r="M23"/>
  <c r="O23"/>
  <c r="T23"/>
  <c r="M22"/>
  <c r="O22"/>
  <c r="T22"/>
  <c r="T18"/>
  <c r="E51"/>
  <c r="F51" s="1"/>
  <c r="G51" s="1"/>
  <c r="I51" s="1"/>
  <c r="E49"/>
  <c r="F49" s="1"/>
  <c r="G49" s="1"/>
  <c r="I49" s="1"/>
  <c r="M47"/>
  <c r="M45"/>
  <c r="T43"/>
  <c r="M43"/>
  <c r="O43"/>
  <c r="T41"/>
  <c r="M41"/>
  <c r="O41"/>
  <c r="T39"/>
  <c r="M39"/>
  <c r="O39"/>
  <c r="T37"/>
  <c r="M37"/>
  <c r="O37"/>
  <c r="T35"/>
  <c r="M35"/>
  <c r="O35"/>
  <c r="M73" i="6"/>
  <c r="N73" s="1"/>
  <c r="M71"/>
  <c r="N71" s="1"/>
  <c r="M69"/>
  <c r="N69" s="1"/>
  <c r="M67"/>
  <c r="N67" s="1"/>
  <c r="M63"/>
  <c r="N63" s="1"/>
  <c r="M61"/>
  <c r="N61" s="1"/>
  <c r="M59"/>
  <c r="N59" s="1"/>
  <c r="M53"/>
  <c r="N53" s="1"/>
  <c r="M51"/>
  <c r="N51" s="1"/>
  <c r="M47"/>
  <c r="N47" s="1"/>
  <c r="M45"/>
  <c r="N45" s="1"/>
  <c r="M43"/>
  <c r="N43" s="1"/>
  <c r="T74"/>
  <c r="R74" s="1"/>
  <c r="M74"/>
  <c r="O74"/>
  <c r="M70"/>
  <c r="N70" s="1"/>
  <c r="M68"/>
  <c r="N68" s="1"/>
  <c r="M66"/>
  <c r="N66" s="1"/>
  <c r="M62"/>
  <c r="N62" s="1"/>
  <c r="M60"/>
  <c r="N60" s="1"/>
  <c r="M39"/>
  <c r="N39" s="1"/>
  <c r="M37"/>
  <c r="N37" s="1"/>
  <c r="M32"/>
  <c r="N32" s="1"/>
  <c r="M31"/>
  <c r="N31" s="1"/>
  <c r="M30"/>
  <c r="N30" s="1"/>
  <c r="M24"/>
  <c r="N24" s="1"/>
  <c r="M23"/>
  <c r="N23" s="1"/>
  <c r="M22"/>
  <c r="N22" s="1"/>
  <c r="M19"/>
  <c r="N19" s="1"/>
  <c r="M16"/>
  <c r="N16" s="1"/>
  <c r="M14"/>
  <c r="N14" s="1"/>
  <c r="M13"/>
  <c r="E56"/>
  <c r="E54"/>
  <c r="M52"/>
  <c r="N52" s="1"/>
  <c r="E48"/>
  <c r="M46"/>
  <c r="N46" s="1"/>
  <c r="M44"/>
  <c r="N44" s="1"/>
  <c r="M40"/>
  <c r="N40" s="1"/>
  <c r="M36"/>
  <c r="N36" s="1"/>
  <c r="M34"/>
  <c r="N34" s="1"/>
  <c r="U100" i="7"/>
  <c r="U98"/>
  <c r="U97"/>
  <c r="V97" s="1"/>
  <c r="V96"/>
  <c r="V95"/>
  <c r="V94"/>
  <c r="V93"/>
  <c r="V92"/>
  <c r="V91"/>
  <c r="V90"/>
  <c r="V89"/>
  <c r="V88"/>
  <c r="V87"/>
  <c r="V86"/>
  <c r="V85"/>
  <c r="V84"/>
  <c r="V83"/>
  <c r="V82"/>
  <c r="V81"/>
  <c r="V80"/>
  <c r="V79"/>
  <c r="V78"/>
  <c r="U101"/>
  <c r="U99"/>
  <c r="V44"/>
  <c r="V43"/>
  <c r="V42"/>
  <c r="V39"/>
  <c r="V38"/>
  <c r="V37"/>
  <c r="V34"/>
  <c r="V32"/>
  <c r="V30"/>
  <c r="V41"/>
  <c r="V40"/>
  <c r="V36"/>
  <c r="V35"/>
  <c r="V33"/>
  <c r="V31"/>
  <c r="V29"/>
  <c r="U23"/>
  <c r="V23" s="1"/>
  <c r="U21"/>
  <c r="V21" s="1"/>
  <c r="U19"/>
  <c r="V19" s="1"/>
  <c r="V16"/>
  <c r="V14"/>
  <c r="V27"/>
  <c r="V26"/>
  <c r="U25"/>
  <c r="V25" s="1"/>
  <c r="U24"/>
  <c r="V24" s="1"/>
  <c r="U22"/>
  <c r="V22" s="1"/>
  <c r="U20"/>
  <c r="V20" s="1"/>
  <c r="V18"/>
  <c r="V17"/>
  <c r="V15"/>
  <c r="V13"/>
  <c r="H18" i="11"/>
  <c r="S18" s="1"/>
  <c r="G22"/>
  <c r="H22" s="1"/>
  <c r="S22" s="1"/>
  <c r="H19"/>
  <c r="S19" s="1"/>
  <c r="G23"/>
  <c r="H23" s="1"/>
  <c r="S23" s="1"/>
  <c r="M10"/>
  <c r="O12"/>
  <c r="L10"/>
  <c r="N10"/>
  <c r="Q10"/>
  <c r="M11"/>
  <c r="O11"/>
  <c r="L12"/>
  <c r="N12"/>
  <c r="Q12"/>
  <c r="M13"/>
  <c r="O13"/>
  <c r="H14"/>
  <c r="S14" s="1"/>
  <c r="H15"/>
  <c r="S15" s="1"/>
  <c r="Q16"/>
  <c r="O16"/>
  <c r="M16"/>
  <c r="N16"/>
  <c r="Q17"/>
  <c r="O17"/>
  <c r="M17"/>
  <c r="N17"/>
  <c r="G20"/>
  <c r="G21"/>
  <c r="Q27"/>
  <c r="N27"/>
  <c r="L27"/>
  <c r="O27"/>
  <c r="Q29"/>
  <c r="N29"/>
  <c r="L29"/>
  <c r="O29"/>
  <c r="Q31"/>
  <c r="O31"/>
  <c r="M31"/>
  <c r="N31"/>
  <c r="Q32"/>
  <c r="O32"/>
  <c r="M32"/>
  <c r="N32"/>
  <c r="Q33"/>
  <c r="O33"/>
  <c r="M33"/>
  <c r="N33"/>
  <c r="G38"/>
  <c r="H34"/>
  <c r="S34" s="1"/>
  <c r="G35"/>
  <c r="G36"/>
  <c r="G37"/>
  <c r="M12"/>
  <c r="M28"/>
  <c r="O28"/>
  <c r="M30"/>
  <c r="O30"/>
  <c r="Q48"/>
  <c r="O48"/>
  <c r="M48"/>
  <c r="N48"/>
  <c r="L48"/>
  <c r="Q49"/>
  <c r="O49"/>
  <c r="M49"/>
  <c r="N49"/>
  <c r="L49"/>
  <c r="Q51"/>
  <c r="O51"/>
  <c r="M51"/>
  <c r="N51"/>
  <c r="L51"/>
  <c r="M44"/>
  <c r="O44"/>
  <c r="Q44"/>
  <c r="M46"/>
  <c r="O46"/>
  <c r="Q46"/>
  <c r="G52"/>
  <c r="G53"/>
  <c r="G54"/>
  <c r="G55"/>
  <c r="L44"/>
  <c r="N44"/>
  <c r="M45"/>
  <c r="O45"/>
  <c r="L46"/>
  <c r="N46"/>
  <c r="M47"/>
  <c r="O47"/>
  <c r="F20" i="8" l="1"/>
  <c r="E51"/>
  <c r="P53" i="6"/>
  <c r="P61"/>
  <c r="P67"/>
  <c r="P37"/>
  <c r="P68"/>
  <c r="N13"/>
  <c r="O41"/>
  <c r="R41"/>
  <c r="R72"/>
  <c r="O72"/>
  <c r="O13"/>
  <c r="P13" s="1"/>
  <c r="R20"/>
  <c r="O20"/>
  <c r="O30"/>
  <c r="P30" s="1"/>
  <c r="R30"/>
  <c r="O63"/>
  <c r="P63" s="1"/>
  <c r="R63"/>
  <c r="R18"/>
  <c r="O18"/>
  <c r="O22"/>
  <c r="P22" s="1"/>
  <c r="R22"/>
  <c r="R27"/>
  <c r="O27"/>
  <c r="R50"/>
  <c r="O50"/>
  <c r="R58"/>
  <c r="O58"/>
  <c r="R44"/>
  <c r="O44"/>
  <c r="P44" s="1"/>
  <c r="P36"/>
  <c r="P51"/>
  <c r="P59"/>
  <c r="P69"/>
  <c r="P73"/>
  <c r="P60"/>
  <c r="P66"/>
  <c r="E42"/>
  <c r="F42" s="1"/>
  <c r="G42" s="1"/>
  <c r="H42" s="1"/>
  <c r="I42" s="1"/>
  <c r="M50"/>
  <c r="N50" s="1"/>
  <c r="M58"/>
  <c r="N58" s="1"/>
  <c r="M18"/>
  <c r="N18" s="1"/>
  <c r="M20"/>
  <c r="N20" s="1"/>
  <c r="M27"/>
  <c r="N27" s="1"/>
  <c r="M41"/>
  <c r="N41" s="1"/>
  <c r="M72"/>
  <c r="N72" s="1"/>
  <c r="R62"/>
  <c r="O62"/>
  <c r="P62" s="1"/>
  <c r="R70"/>
  <c r="O70"/>
  <c r="P70" s="1"/>
  <c r="R46"/>
  <c r="O46"/>
  <c r="P46" s="1"/>
  <c r="R16"/>
  <c r="O16"/>
  <c r="P16" s="1"/>
  <c r="O24"/>
  <c r="P24" s="1"/>
  <c r="R24"/>
  <c r="O34"/>
  <c r="P34" s="1"/>
  <c r="R34"/>
  <c r="R14"/>
  <c r="O14"/>
  <c r="P14" s="1"/>
  <c r="O19"/>
  <c r="P19" s="1"/>
  <c r="R19"/>
  <c r="R23"/>
  <c r="O23"/>
  <c r="P23" s="1"/>
  <c r="O32"/>
  <c r="P32" s="1"/>
  <c r="R32"/>
  <c r="R52"/>
  <c r="O52"/>
  <c r="P52" s="1"/>
  <c r="R31"/>
  <c r="O31"/>
  <c r="P31" s="1"/>
  <c r="P40"/>
  <c r="P39"/>
  <c r="P43"/>
  <c r="P45"/>
  <c r="P47"/>
  <c r="P71"/>
  <c r="H21"/>
  <c r="I21" s="1"/>
  <c r="H33"/>
  <c r="I33" s="1"/>
  <c r="F15"/>
  <c r="G15" s="1"/>
  <c r="H15" s="1"/>
  <c r="I15" s="1"/>
  <c r="E17"/>
  <c r="F17" s="1"/>
  <c r="G17" s="1"/>
  <c r="H17" s="1"/>
  <c r="I17" s="1"/>
  <c r="F25"/>
  <c r="G25" s="1"/>
  <c r="H25" s="1"/>
  <c r="I25" s="1"/>
  <c r="E26"/>
  <c r="F64"/>
  <c r="G64" s="1"/>
  <c r="H64" s="1"/>
  <c r="I64" s="1"/>
  <c r="E65"/>
  <c r="F65" s="1"/>
  <c r="G65" s="1"/>
  <c r="H65" s="1"/>
  <c r="I65" s="1"/>
  <c r="E15" i="5"/>
  <c r="H14"/>
  <c r="I14" s="1"/>
  <c r="P13"/>
  <c r="N13"/>
  <c r="F24"/>
  <c r="G24" s="1"/>
  <c r="I24" s="1"/>
  <c r="E25"/>
  <c r="F19"/>
  <c r="G19" s="1"/>
  <c r="E20"/>
  <c r="F15"/>
  <c r="G15" s="1"/>
  <c r="E16"/>
  <c r="F16" s="1"/>
  <c r="G16" s="1"/>
  <c r="F81" i="8"/>
  <c r="E112"/>
  <c r="F83"/>
  <c r="E114"/>
  <c r="F87"/>
  <c r="E118"/>
  <c r="F91"/>
  <c r="E122"/>
  <c r="F99"/>
  <c r="E130"/>
  <c r="F106"/>
  <c r="E137"/>
  <c r="F137" s="1"/>
  <c r="E142"/>
  <c r="F142" s="1"/>
  <c r="F111"/>
  <c r="F115"/>
  <c r="E146"/>
  <c r="F146" s="1"/>
  <c r="E150"/>
  <c r="F150" s="1"/>
  <c r="F119"/>
  <c r="F123"/>
  <c r="E154"/>
  <c r="F154" s="1"/>
  <c r="E158"/>
  <c r="F158" s="1"/>
  <c r="F127"/>
  <c r="F131"/>
  <c r="E162"/>
  <c r="F162" s="1"/>
  <c r="F104"/>
  <c r="E135"/>
  <c r="F135" s="1"/>
  <c r="F85"/>
  <c r="E116"/>
  <c r="F89"/>
  <c r="E120"/>
  <c r="F93"/>
  <c r="E124"/>
  <c r="F95"/>
  <c r="E126"/>
  <c r="P11"/>
  <c r="F97"/>
  <c r="E128"/>
  <c r="F101"/>
  <c r="E132"/>
  <c r="F109"/>
  <c r="E140"/>
  <c r="F140" s="1"/>
  <c r="T51" i="5"/>
  <c r="M51"/>
  <c r="O51"/>
  <c r="P22"/>
  <c r="N22"/>
  <c r="P23"/>
  <c r="N23"/>
  <c r="P27"/>
  <c r="N27"/>
  <c r="P28"/>
  <c r="N28"/>
  <c r="P29"/>
  <c r="N29"/>
  <c r="P30"/>
  <c r="N30"/>
  <c r="P31"/>
  <c r="N31"/>
  <c r="P32"/>
  <c r="N32"/>
  <c r="P33"/>
  <c r="N33"/>
  <c r="N50"/>
  <c r="P50"/>
  <c r="N46"/>
  <c r="P46"/>
  <c r="N35"/>
  <c r="P35"/>
  <c r="N37"/>
  <c r="P37"/>
  <c r="N39"/>
  <c r="P39"/>
  <c r="N41"/>
  <c r="P41"/>
  <c r="N43"/>
  <c r="P43"/>
  <c r="N45"/>
  <c r="P45"/>
  <c r="N47"/>
  <c r="P47"/>
  <c r="T49"/>
  <c r="M49"/>
  <c r="O49"/>
  <c r="N34"/>
  <c r="P34"/>
  <c r="N36"/>
  <c r="P36"/>
  <c r="N38"/>
  <c r="P38"/>
  <c r="N40"/>
  <c r="P40"/>
  <c r="N42"/>
  <c r="P42"/>
  <c r="N44"/>
  <c r="P44"/>
  <c r="N48"/>
  <c r="P48"/>
  <c r="N52"/>
  <c r="P52"/>
  <c r="F48" i="6"/>
  <c r="G48" s="1"/>
  <c r="H48" s="1"/>
  <c r="I48" s="1"/>
  <c r="E49"/>
  <c r="F49" s="1"/>
  <c r="G49" s="1"/>
  <c r="H49" s="1"/>
  <c r="I49" s="1"/>
  <c r="F56"/>
  <c r="G56" s="1"/>
  <c r="H56" s="1"/>
  <c r="I56" s="1"/>
  <c r="E57"/>
  <c r="F57" s="1"/>
  <c r="G57" s="1"/>
  <c r="H57" s="1"/>
  <c r="I57" s="1"/>
  <c r="N74"/>
  <c r="P74"/>
  <c r="M42"/>
  <c r="N42" s="1"/>
  <c r="F54"/>
  <c r="G54" s="1"/>
  <c r="H54" s="1"/>
  <c r="I54" s="1"/>
  <c r="E55"/>
  <c r="F55" s="1"/>
  <c r="G55" s="1"/>
  <c r="H55" s="1"/>
  <c r="I55" s="1"/>
  <c r="V99" i="7"/>
  <c r="V101"/>
  <c r="V28"/>
  <c r="V46"/>
  <c r="V48"/>
  <c r="V50"/>
  <c r="V52"/>
  <c r="V54"/>
  <c r="V56"/>
  <c r="V58"/>
  <c r="V60"/>
  <c r="V62"/>
  <c r="V64"/>
  <c r="V66"/>
  <c r="V68"/>
  <c r="V70"/>
  <c r="V72"/>
  <c r="V74"/>
  <c r="V76"/>
  <c r="V77"/>
  <c r="V45"/>
  <c r="V47"/>
  <c r="V49"/>
  <c r="V51"/>
  <c r="V53"/>
  <c r="V55"/>
  <c r="V57"/>
  <c r="V59"/>
  <c r="V61"/>
  <c r="V63"/>
  <c r="V65"/>
  <c r="V67"/>
  <c r="V69"/>
  <c r="V71"/>
  <c r="V73"/>
  <c r="V75"/>
  <c r="V98"/>
  <c r="V100"/>
  <c r="H54" i="11"/>
  <c r="S54" s="1"/>
  <c r="G58"/>
  <c r="H58" s="1"/>
  <c r="S58" s="1"/>
  <c r="H52"/>
  <c r="S52" s="1"/>
  <c r="G56"/>
  <c r="H56" s="1"/>
  <c r="S56" s="1"/>
  <c r="G41"/>
  <c r="H41" s="1"/>
  <c r="S41" s="1"/>
  <c r="H37"/>
  <c r="S37" s="1"/>
  <c r="G39"/>
  <c r="H39" s="1"/>
  <c r="S39" s="1"/>
  <c r="H35"/>
  <c r="S35" s="1"/>
  <c r="G42"/>
  <c r="H42" s="1"/>
  <c r="S42" s="1"/>
  <c r="H38"/>
  <c r="S38" s="1"/>
  <c r="H20"/>
  <c r="S20" s="1"/>
  <c r="G24"/>
  <c r="H24" s="1"/>
  <c r="S24" s="1"/>
  <c r="N14"/>
  <c r="Q14"/>
  <c r="O14"/>
  <c r="M14"/>
  <c r="L14"/>
  <c r="Q23"/>
  <c r="O23"/>
  <c r="M23"/>
  <c r="L23"/>
  <c r="N23"/>
  <c r="Q22"/>
  <c r="O22"/>
  <c r="M22"/>
  <c r="L22"/>
  <c r="N22"/>
  <c r="H55"/>
  <c r="S55" s="1"/>
  <c r="G59"/>
  <c r="H59" s="1"/>
  <c r="S59" s="1"/>
  <c r="H53"/>
  <c r="S53" s="1"/>
  <c r="G57"/>
  <c r="H57" s="1"/>
  <c r="S57" s="1"/>
  <c r="G40"/>
  <c r="H40" s="1"/>
  <c r="S40" s="1"/>
  <c r="H36"/>
  <c r="S36" s="1"/>
  <c r="Q34"/>
  <c r="O34"/>
  <c r="M34"/>
  <c r="L34"/>
  <c r="N34"/>
  <c r="H21"/>
  <c r="S21" s="1"/>
  <c r="G25"/>
  <c r="H25" s="1"/>
  <c r="S25" s="1"/>
  <c r="Q15"/>
  <c r="N15"/>
  <c r="L15"/>
  <c r="O15"/>
  <c r="M15"/>
  <c r="Q19"/>
  <c r="O19"/>
  <c r="M19"/>
  <c r="L19"/>
  <c r="N19"/>
  <c r="Q18"/>
  <c r="O18"/>
  <c r="M18"/>
  <c r="L18"/>
  <c r="N18"/>
  <c r="F51" i="8" l="1"/>
  <c r="E82"/>
  <c r="O38" i="6"/>
  <c r="R38"/>
  <c r="M38"/>
  <c r="R54"/>
  <c r="O54"/>
  <c r="O57"/>
  <c r="R57"/>
  <c r="O49"/>
  <c r="R49"/>
  <c r="O65"/>
  <c r="R65"/>
  <c r="O17"/>
  <c r="R17"/>
  <c r="R35"/>
  <c r="O35"/>
  <c r="R21"/>
  <c r="O21"/>
  <c r="R42"/>
  <c r="O42"/>
  <c r="P42" s="1"/>
  <c r="P58"/>
  <c r="P50"/>
  <c r="P27"/>
  <c r="P18"/>
  <c r="P20"/>
  <c r="P72"/>
  <c r="O55"/>
  <c r="R55"/>
  <c r="R56"/>
  <c r="O56"/>
  <c r="R48"/>
  <c r="O48"/>
  <c r="R64"/>
  <c r="O64"/>
  <c r="R25"/>
  <c r="O25"/>
  <c r="O15"/>
  <c r="R15"/>
  <c r="R33"/>
  <c r="O33"/>
  <c r="P41"/>
  <c r="M33"/>
  <c r="N33" s="1"/>
  <c r="M21"/>
  <c r="N21" s="1"/>
  <c r="M35"/>
  <c r="N35" s="1"/>
  <c r="M65"/>
  <c r="N65" s="1"/>
  <c r="E28"/>
  <c r="F26"/>
  <c r="G26" s="1"/>
  <c r="H26" s="1"/>
  <c r="I26" s="1"/>
  <c r="M17"/>
  <c r="N17" s="1"/>
  <c r="M64"/>
  <c r="N64" s="1"/>
  <c r="M25"/>
  <c r="N25" s="1"/>
  <c r="M15"/>
  <c r="N15" s="1"/>
  <c r="H16" i="5"/>
  <c r="I16" s="1"/>
  <c r="H19"/>
  <c r="I19" s="1"/>
  <c r="H15"/>
  <c r="I15" s="1"/>
  <c r="F20"/>
  <c r="G20" s="1"/>
  <c r="E21"/>
  <c r="F21" s="1"/>
  <c r="G21" s="1"/>
  <c r="F25"/>
  <c r="G25" s="1"/>
  <c r="I25" s="1"/>
  <c r="E26"/>
  <c r="F26" s="1"/>
  <c r="G26" s="1"/>
  <c r="I26" s="1"/>
  <c r="O24"/>
  <c r="M24"/>
  <c r="T24"/>
  <c r="F122" i="8"/>
  <c r="E153"/>
  <c r="F153" s="1"/>
  <c r="F118"/>
  <c r="E149"/>
  <c r="F149" s="1"/>
  <c r="F114"/>
  <c r="E145"/>
  <c r="F145" s="1"/>
  <c r="F112"/>
  <c r="E143"/>
  <c r="F143" s="1"/>
  <c r="F132"/>
  <c r="E163"/>
  <c r="F163" s="1"/>
  <c r="F128"/>
  <c r="E159"/>
  <c r="F159" s="1"/>
  <c r="F126"/>
  <c r="E157"/>
  <c r="F157" s="1"/>
  <c r="F124"/>
  <c r="E155"/>
  <c r="F155" s="1"/>
  <c r="F120"/>
  <c r="E151"/>
  <c r="F151" s="1"/>
  <c r="F116"/>
  <c r="E147"/>
  <c r="F147" s="1"/>
  <c r="F130"/>
  <c r="E161"/>
  <c r="F161" s="1"/>
  <c r="N49" i="5"/>
  <c r="P49"/>
  <c r="N51"/>
  <c r="P51"/>
  <c r="M55" i="6"/>
  <c r="N55" s="1"/>
  <c r="M57"/>
  <c r="N57" s="1"/>
  <c r="M49"/>
  <c r="N49" s="1"/>
  <c r="M54"/>
  <c r="N54" s="1"/>
  <c r="M56"/>
  <c r="N56" s="1"/>
  <c r="M48"/>
  <c r="N48" s="1"/>
  <c r="Q25" i="11"/>
  <c r="O25"/>
  <c r="M25"/>
  <c r="L25"/>
  <c r="N25"/>
  <c r="Q36"/>
  <c r="O36"/>
  <c r="M36"/>
  <c r="L36"/>
  <c r="N36"/>
  <c r="Q57"/>
  <c r="O57"/>
  <c r="M57"/>
  <c r="N57"/>
  <c r="L57"/>
  <c r="Q59"/>
  <c r="O59"/>
  <c r="M59"/>
  <c r="N59"/>
  <c r="L59"/>
  <c r="Q24"/>
  <c r="O24"/>
  <c r="M24"/>
  <c r="L24"/>
  <c r="N24"/>
  <c r="Q38"/>
  <c r="N38"/>
  <c r="L38"/>
  <c r="M38"/>
  <c r="O38"/>
  <c r="Q35"/>
  <c r="O35"/>
  <c r="M35"/>
  <c r="L35"/>
  <c r="N35"/>
  <c r="N37"/>
  <c r="Q37"/>
  <c r="M37"/>
  <c r="L37"/>
  <c r="O37"/>
  <c r="Q56"/>
  <c r="O56"/>
  <c r="M56"/>
  <c r="N56"/>
  <c r="L56"/>
  <c r="Q58"/>
  <c r="O58"/>
  <c r="M58"/>
  <c r="N58"/>
  <c r="L58"/>
  <c r="Q21"/>
  <c r="O21"/>
  <c r="M21"/>
  <c r="L21"/>
  <c r="N21"/>
  <c r="N40"/>
  <c r="L40"/>
  <c r="Q40"/>
  <c r="O40"/>
  <c r="M40"/>
  <c r="Q53"/>
  <c r="O53"/>
  <c r="M53"/>
  <c r="N53"/>
  <c r="L53"/>
  <c r="Q55"/>
  <c r="O55"/>
  <c r="M55"/>
  <c r="N55"/>
  <c r="L55"/>
  <c r="Q20"/>
  <c r="O20"/>
  <c r="M20"/>
  <c r="L20"/>
  <c r="N20"/>
  <c r="N42"/>
  <c r="L42"/>
  <c r="Q42"/>
  <c r="O42"/>
  <c r="M42"/>
  <c r="N39"/>
  <c r="L39"/>
  <c r="Q39"/>
  <c r="O39"/>
  <c r="M39"/>
  <c r="N41"/>
  <c r="L41"/>
  <c r="Q41"/>
  <c r="O41"/>
  <c r="M41"/>
  <c r="Q52"/>
  <c r="O52"/>
  <c r="M52"/>
  <c r="N52"/>
  <c r="L52"/>
  <c r="Q54"/>
  <c r="O54"/>
  <c r="M54"/>
  <c r="N54"/>
  <c r="L54"/>
  <c r="F82" i="8" l="1"/>
  <c r="E113"/>
  <c r="P38" i="6"/>
  <c r="N38"/>
  <c r="P33"/>
  <c r="P25"/>
  <c r="P64"/>
  <c r="P48"/>
  <c r="P56"/>
  <c r="P21"/>
  <c r="P35"/>
  <c r="P54"/>
  <c r="O26"/>
  <c r="R26"/>
  <c r="P15"/>
  <c r="P55"/>
  <c r="P17"/>
  <c r="P65"/>
  <c r="P49"/>
  <c r="P57"/>
  <c r="M26"/>
  <c r="N26" s="1"/>
  <c r="F28"/>
  <c r="G28" s="1"/>
  <c r="H28" s="1"/>
  <c r="I28" s="1"/>
  <c r="E29"/>
  <c r="F29" s="1"/>
  <c r="G29" s="1"/>
  <c r="H29" s="1"/>
  <c r="I29" s="1"/>
  <c r="T19" i="5"/>
  <c r="H20"/>
  <c r="I20" s="1"/>
  <c r="H21"/>
  <c r="I21" s="1"/>
  <c r="O26"/>
  <c r="M26"/>
  <c r="T26"/>
  <c r="P24"/>
  <c r="N24"/>
  <c r="M25"/>
  <c r="T25"/>
  <c r="O25"/>
  <c r="F113" i="8" l="1"/>
  <c r="E144"/>
  <c r="F144" s="1"/>
  <c r="O28" i="6"/>
  <c r="R28"/>
  <c r="R29"/>
  <c r="O29"/>
  <c r="P26"/>
  <c r="H75"/>
  <c r="M29"/>
  <c r="N29" s="1"/>
  <c r="M28"/>
  <c r="N28" s="1"/>
  <c r="T20" i="5"/>
  <c r="I54"/>
  <c r="P26"/>
  <c r="N26"/>
  <c r="P25"/>
  <c r="N25"/>
  <c r="P29" i="6" l="1"/>
  <c r="P28"/>
  <c r="U9" i="3" l="1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T8"/>
  <c r="U8"/>
  <c r="K8"/>
  <c r="S8"/>
  <c r="J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H70" l="1"/>
  <c r="I70" s="1"/>
  <c r="J70" s="1"/>
  <c r="K70" s="1"/>
  <c r="H69"/>
  <c r="H71" s="1"/>
  <c r="I71" s="1"/>
  <c r="J71" s="1"/>
  <c r="K71" s="1"/>
  <c r="H68"/>
  <c r="I68" s="1"/>
  <c r="J68" s="1"/>
  <c r="K68" s="1"/>
  <c r="Q68" s="1"/>
  <c r="H67"/>
  <c r="I67" s="1"/>
  <c r="J67" s="1"/>
  <c r="K67" s="1"/>
  <c r="Q67" s="1"/>
  <c r="H59"/>
  <c r="H58"/>
  <c r="I58" s="1"/>
  <c r="J58" s="1"/>
  <c r="K58" s="1"/>
  <c r="H56"/>
  <c r="I56" s="1"/>
  <c r="J56" s="1"/>
  <c r="K56" s="1"/>
  <c r="H55"/>
  <c r="I55" s="1"/>
  <c r="J55" s="1"/>
  <c r="K55" s="1"/>
  <c r="H54"/>
  <c r="I54" s="1"/>
  <c r="J54" s="1"/>
  <c r="K54" s="1"/>
  <c r="H53"/>
  <c r="I53" s="1"/>
  <c r="J53" s="1"/>
  <c r="K53" s="1"/>
  <c r="H49"/>
  <c r="H51" s="1"/>
  <c r="I51" s="1"/>
  <c r="J51" s="1"/>
  <c r="K51" s="1"/>
  <c r="H48"/>
  <c r="H50" s="1"/>
  <c r="H47"/>
  <c r="I47" s="1"/>
  <c r="J47" s="1"/>
  <c r="K47" s="1"/>
  <c r="H44"/>
  <c r="H45" s="1"/>
  <c r="H43"/>
  <c r="I43" s="1"/>
  <c r="J43" s="1"/>
  <c r="K43" s="1"/>
  <c r="H42"/>
  <c r="I42" s="1"/>
  <c r="J42" s="1"/>
  <c r="K42" s="1"/>
  <c r="H41"/>
  <c r="I41" s="1"/>
  <c r="J41" s="1"/>
  <c r="K41" s="1"/>
  <c r="H39"/>
  <c r="H40" s="1"/>
  <c r="I40" s="1"/>
  <c r="J40" s="1"/>
  <c r="K40" s="1"/>
  <c r="H38"/>
  <c r="I38" s="1"/>
  <c r="J38" s="1"/>
  <c r="K38" s="1"/>
  <c r="H36"/>
  <c r="H35"/>
  <c r="I35" s="1"/>
  <c r="J35" s="1"/>
  <c r="K35" s="1"/>
  <c r="P35" s="1"/>
  <c r="H34"/>
  <c r="I34" s="1"/>
  <c r="J34" s="1"/>
  <c r="K34" s="1"/>
  <c r="H33"/>
  <c r="I33" s="1"/>
  <c r="J33" s="1"/>
  <c r="K33" s="1"/>
  <c r="H32"/>
  <c r="I32" s="1"/>
  <c r="J32" s="1"/>
  <c r="K32" s="1"/>
  <c r="I31"/>
  <c r="J31" s="1"/>
  <c r="K31" s="1"/>
  <c r="P31" s="1"/>
  <c r="H31"/>
  <c r="I30"/>
  <c r="J30" s="1"/>
  <c r="K30" s="1"/>
  <c r="H27"/>
  <c r="H26"/>
  <c r="I26" s="1"/>
  <c r="J26" s="1"/>
  <c r="K26" s="1"/>
  <c r="H23"/>
  <c r="J22"/>
  <c r="K22" s="1"/>
  <c r="H22"/>
  <c r="I22" s="1"/>
  <c r="I21"/>
  <c r="J21" s="1"/>
  <c r="K21" s="1"/>
  <c r="H20"/>
  <c r="I20" s="1"/>
  <c r="J20" s="1"/>
  <c r="K20" s="1"/>
  <c r="I19"/>
  <c r="J19" s="1"/>
  <c r="K19" s="1"/>
  <c r="H19"/>
  <c r="H18"/>
  <c r="I18" s="1"/>
  <c r="J18" s="1"/>
  <c r="K18" s="1"/>
  <c r="H16"/>
  <c r="I16" s="1"/>
  <c r="J16" s="1"/>
  <c r="K16" s="1"/>
  <c r="O16" s="1"/>
  <c r="H14"/>
  <c r="H15" s="1"/>
  <c r="I15" s="1"/>
  <c r="J15" s="1"/>
  <c r="K15" s="1"/>
  <c r="H13"/>
  <c r="I13" s="1"/>
  <c r="J13" s="1"/>
  <c r="K13" s="1"/>
  <c r="S13" s="1"/>
  <c r="H12"/>
  <c r="I12" s="1"/>
  <c r="J12" s="1"/>
  <c r="K12" s="1"/>
  <c r="H10"/>
  <c r="H9"/>
  <c r="I9" s="1"/>
  <c r="J9" s="1"/>
  <c r="K9" s="1"/>
  <c r="I8"/>
  <c r="J16" i="2"/>
  <c r="J15"/>
  <c r="J14"/>
  <c r="J13"/>
  <c r="J12"/>
  <c r="J11"/>
  <c r="H10" l="1"/>
  <c r="I10"/>
  <c r="G10"/>
  <c r="I11"/>
  <c r="H11"/>
  <c r="G11"/>
  <c r="I13"/>
  <c r="H13"/>
  <c r="G13"/>
  <c r="I15"/>
  <c r="H15"/>
  <c r="G15"/>
  <c r="G12"/>
  <c r="I12"/>
  <c r="H12"/>
  <c r="G14"/>
  <c r="I14"/>
  <c r="H14"/>
  <c r="G16"/>
  <c r="I16"/>
  <c r="H16"/>
  <c r="I39" i="3"/>
  <c r="J39" s="1"/>
  <c r="K39" s="1"/>
  <c r="H52"/>
  <c r="I52" s="1"/>
  <c r="J52" s="1"/>
  <c r="K52" s="1"/>
  <c r="P52" s="1"/>
  <c r="I50"/>
  <c r="J50" s="1"/>
  <c r="K50" s="1"/>
  <c r="O50" s="1"/>
  <c r="H17"/>
  <c r="I17" s="1"/>
  <c r="J17" s="1"/>
  <c r="K17" s="1"/>
  <c r="I48"/>
  <c r="J48" s="1"/>
  <c r="K48" s="1"/>
  <c r="P12"/>
  <c r="S12"/>
  <c r="R12"/>
  <c r="M12"/>
  <c r="N12" s="1"/>
  <c r="Q12"/>
  <c r="O12"/>
  <c r="S38"/>
  <c r="O38"/>
  <c r="P38"/>
  <c r="R38"/>
  <c r="M38"/>
  <c r="N38" s="1"/>
  <c r="Q38"/>
  <c r="P9"/>
  <c r="R9"/>
  <c r="M9"/>
  <c r="Q9"/>
  <c r="H11"/>
  <c r="I11" s="1"/>
  <c r="J11" s="1"/>
  <c r="K11" s="1"/>
  <c r="I10"/>
  <c r="J10" s="1"/>
  <c r="K10" s="1"/>
  <c r="P15"/>
  <c r="O15"/>
  <c r="S15"/>
  <c r="R15"/>
  <c r="M15"/>
  <c r="N15" s="1"/>
  <c r="Q18"/>
  <c r="R18"/>
  <c r="P18"/>
  <c r="Q20"/>
  <c r="M20"/>
  <c r="N20" s="1"/>
  <c r="R20"/>
  <c r="P20"/>
  <c r="O20"/>
  <c r="R22"/>
  <c r="O22"/>
  <c r="S22"/>
  <c r="M22"/>
  <c r="N22" s="1"/>
  <c r="Q22"/>
  <c r="I27"/>
  <c r="J27" s="1"/>
  <c r="K27" s="1"/>
  <c r="H28"/>
  <c r="S30"/>
  <c r="O30"/>
  <c r="P30"/>
  <c r="R30"/>
  <c r="M30"/>
  <c r="N30" s="1"/>
  <c r="S33"/>
  <c r="O33"/>
  <c r="Q33"/>
  <c r="P33"/>
  <c r="S34"/>
  <c r="O34"/>
  <c r="P34"/>
  <c r="R34"/>
  <c r="M34"/>
  <c r="N34" s="1"/>
  <c r="S41"/>
  <c r="O41"/>
  <c r="R41"/>
  <c r="M41"/>
  <c r="Q41"/>
  <c r="P41"/>
  <c r="N41"/>
  <c r="H46"/>
  <c r="I46" s="1"/>
  <c r="J46" s="1"/>
  <c r="K46" s="1"/>
  <c r="I45"/>
  <c r="J45" s="1"/>
  <c r="K45" s="1"/>
  <c r="P51"/>
  <c r="O51"/>
  <c r="S51"/>
  <c r="M51"/>
  <c r="N51" s="1"/>
  <c r="R51"/>
  <c r="Q51"/>
  <c r="N9"/>
  <c r="Q15"/>
  <c r="M17"/>
  <c r="N17" s="1"/>
  <c r="M18"/>
  <c r="N18" s="1"/>
  <c r="Q19"/>
  <c r="M19"/>
  <c r="O19"/>
  <c r="S19"/>
  <c r="N19"/>
  <c r="R19"/>
  <c r="R21"/>
  <c r="P21"/>
  <c r="O21"/>
  <c r="S21"/>
  <c r="M21"/>
  <c r="N21" s="1"/>
  <c r="P22"/>
  <c r="Q30"/>
  <c r="S32"/>
  <c r="O32"/>
  <c r="R32"/>
  <c r="M32"/>
  <c r="N32" s="1"/>
  <c r="Q32"/>
  <c r="P32"/>
  <c r="M33"/>
  <c r="N33" s="1"/>
  <c r="Q34"/>
  <c r="H37"/>
  <c r="I37" s="1"/>
  <c r="J37" s="1"/>
  <c r="K37" s="1"/>
  <c r="I36"/>
  <c r="J36" s="1"/>
  <c r="K36" s="1"/>
  <c r="S42"/>
  <c r="O42"/>
  <c r="Q42"/>
  <c r="P42"/>
  <c r="R42"/>
  <c r="M42"/>
  <c r="N42" s="1"/>
  <c r="P47"/>
  <c r="O47"/>
  <c r="S47"/>
  <c r="M47"/>
  <c r="N47" s="1"/>
  <c r="R47"/>
  <c r="Q47"/>
  <c r="P53"/>
  <c r="R53"/>
  <c r="M53"/>
  <c r="N53" s="1"/>
  <c r="Q53"/>
  <c r="O53"/>
  <c r="S53"/>
  <c r="P56"/>
  <c r="S56"/>
  <c r="O56"/>
  <c r="M56"/>
  <c r="N56" s="1"/>
  <c r="R56"/>
  <c r="Q56"/>
  <c r="P71"/>
  <c r="O71"/>
  <c r="S71"/>
  <c r="M71"/>
  <c r="N71" s="1"/>
  <c r="R71"/>
  <c r="Q71"/>
  <c r="O9"/>
  <c r="P13"/>
  <c r="R13"/>
  <c r="M13"/>
  <c r="N13" s="1"/>
  <c r="Q13"/>
  <c r="O13"/>
  <c r="S18"/>
  <c r="P19"/>
  <c r="S20"/>
  <c r="Q21"/>
  <c r="I23"/>
  <c r="J23" s="1"/>
  <c r="K23" s="1"/>
  <c r="H24"/>
  <c r="R26"/>
  <c r="O26"/>
  <c r="S26"/>
  <c r="M26"/>
  <c r="N26" s="1"/>
  <c r="Q26"/>
  <c r="R33"/>
  <c r="S39"/>
  <c r="O39"/>
  <c r="P39"/>
  <c r="R39"/>
  <c r="M39"/>
  <c r="N39" s="1"/>
  <c r="Q39"/>
  <c r="P54"/>
  <c r="Q54"/>
  <c r="S54"/>
  <c r="M54"/>
  <c r="N54" s="1"/>
  <c r="R54"/>
  <c r="O54"/>
  <c r="P58"/>
  <c r="Q58"/>
  <c r="S58"/>
  <c r="M58"/>
  <c r="N58" s="1"/>
  <c r="R58"/>
  <c r="O58"/>
  <c r="P70"/>
  <c r="Q70"/>
  <c r="O70"/>
  <c r="S70"/>
  <c r="M70"/>
  <c r="N70" s="1"/>
  <c r="R70"/>
  <c r="S9"/>
  <c r="P16"/>
  <c r="S16"/>
  <c r="R16"/>
  <c r="M16"/>
  <c r="N16" s="1"/>
  <c r="Q16"/>
  <c r="S17"/>
  <c r="P26"/>
  <c r="S31"/>
  <c r="O31"/>
  <c r="R31"/>
  <c r="M31"/>
  <c r="N31" s="1"/>
  <c r="Q31"/>
  <c r="S35"/>
  <c r="O35"/>
  <c r="R35"/>
  <c r="M35"/>
  <c r="N35" s="1"/>
  <c r="Q35"/>
  <c r="S40"/>
  <c r="O40"/>
  <c r="R40"/>
  <c r="M40"/>
  <c r="N40" s="1"/>
  <c r="Q40"/>
  <c r="P40"/>
  <c r="S43"/>
  <c r="O43"/>
  <c r="P43"/>
  <c r="R43"/>
  <c r="M43"/>
  <c r="N43" s="1"/>
  <c r="Q43"/>
  <c r="P48"/>
  <c r="S48"/>
  <c r="M48"/>
  <c r="R48"/>
  <c r="Q48"/>
  <c r="R52"/>
  <c r="P55"/>
  <c r="O55"/>
  <c r="S55"/>
  <c r="M55"/>
  <c r="N55" s="1"/>
  <c r="R55"/>
  <c r="Q55"/>
  <c r="I44"/>
  <c r="J44" s="1"/>
  <c r="K44" s="1"/>
  <c r="I49"/>
  <c r="J49" s="1"/>
  <c r="K49" s="1"/>
  <c r="M50"/>
  <c r="N50" s="1"/>
  <c r="H60"/>
  <c r="I59"/>
  <c r="J59" s="1"/>
  <c r="K59" s="1"/>
  <c r="M67"/>
  <c r="N67" s="1"/>
  <c r="S67"/>
  <c r="M68"/>
  <c r="I14"/>
  <c r="J14" s="1"/>
  <c r="K14" s="1"/>
  <c r="O68"/>
  <c r="I69"/>
  <c r="J69" s="1"/>
  <c r="K69" s="1"/>
  <c r="H57"/>
  <c r="I57" s="1"/>
  <c r="J57" s="1"/>
  <c r="K57" s="1"/>
  <c r="R50"/>
  <c r="P67"/>
  <c r="O67"/>
  <c r="R67"/>
  <c r="P68"/>
  <c r="S68"/>
  <c r="N68"/>
  <c r="R68"/>
  <c r="S52" l="1"/>
  <c r="O17"/>
  <c r="P17"/>
  <c r="M52"/>
  <c r="N52" s="1"/>
  <c r="Q17"/>
  <c r="R17"/>
  <c r="N48"/>
  <c r="Q50"/>
  <c r="P50"/>
  <c r="O52"/>
  <c r="S50"/>
  <c r="Q52"/>
  <c r="O48"/>
  <c r="P11"/>
  <c r="O11"/>
  <c r="S11"/>
  <c r="Q11"/>
  <c r="M11"/>
  <c r="N11" s="1"/>
  <c r="R11"/>
  <c r="P57"/>
  <c r="R57"/>
  <c r="M57"/>
  <c r="N57" s="1"/>
  <c r="Q57"/>
  <c r="O57"/>
  <c r="S57"/>
  <c r="R23"/>
  <c r="S23"/>
  <c r="M23"/>
  <c r="N23" s="1"/>
  <c r="Q23"/>
  <c r="P23"/>
  <c r="O23"/>
  <c r="P69"/>
  <c r="R69"/>
  <c r="M69"/>
  <c r="N69" s="1"/>
  <c r="S69"/>
  <c r="Q69"/>
  <c r="O69"/>
  <c r="P14"/>
  <c r="Q14"/>
  <c r="O14"/>
  <c r="S14"/>
  <c r="R14"/>
  <c r="M14"/>
  <c r="N14" s="1"/>
  <c r="P59"/>
  <c r="O59"/>
  <c r="S59"/>
  <c r="M59"/>
  <c r="N59" s="1"/>
  <c r="R59"/>
  <c r="Q59"/>
  <c r="P49"/>
  <c r="R49"/>
  <c r="M49"/>
  <c r="N49" s="1"/>
  <c r="O49"/>
  <c r="S49"/>
  <c r="Q49"/>
  <c r="S36"/>
  <c r="O36"/>
  <c r="R36"/>
  <c r="M36"/>
  <c r="Q36"/>
  <c r="P36"/>
  <c r="N36"/>
  <c r="P45"/>
  <c r="R45"/>
  <c r="M45"/>
  <c r="N45" s="1"/>
  <c r="O45"/>
  <c r="S45"/>
  <c r="Q45"/>
  <c r="I24"/>
  <c r="J24" s="1"/>
  <c r="K24" s="1"/>
  <c r="H25"/>
  <c r="I25" s="1"/>
  <c r="J25" s="1"/>
  <c r="K25" s="1"/>
  <c r="I28"/>
  <c r="J28" s="1"/>
  <c r="K28" s="1"/>
  <c r="H29"/>
  <c r="I29" s="1"/>
  <c r="J29" s="1"/>
  <c r="K29" s="1"/>
  <c r="R27"/>
  <c r="S27"/>
  <c r="M27"/>
  <c r="N27" s="1"/>
  <c r="Q27"/>
  <c r="P27"/>
  <c r="O27"/>
  <c r="I60"/>
  <c r="J60" s="1"/>
  <c r="K60" s="1"/>
  <c r="H61"/>
  <c r="S44"/>
  <c r="O44"/>
  <c r="R44"/>
  <c r="M44"/>
  <c r="N44" s="1"/>
  <c r="Q44"/>
  <c r="P44"/>
  <c r="S37"/>
  <c r="O37"/>
  <c r="Q37"/>
  <c r="P37"/>
  <c r="R37"/>
  <c r="M37"/>
  <c r="N37" s="1"/>
  <c r="P46"/>
  <c r="Q46"/>
  <c r="R46"/>
  <c r="O46"/>
  <c r="S46"/>
  <c r="M46"/>
  <c r="N46" s="1"/>
  <c r="P10"/>
  <c r="Q10"/>
  <c r="O10"/>
  <c r="R10"/>
  <c r="M10"/>
  <c r="N10" s="1"/>
  <c r="S10"/>
  <c r="P8"/>
  <c r="R8"/>
  <c r="M8"/>
  <c r="N8" s="1"/>
  <c r="Q8"/>
  <c r="O8"/>
  <c r="R28" l="1"/>
  <c r="Q28"/>
  <c r="P28"/>
  <c r="O28"/>
  <c r="M28"/>
  <c r="N28" s="1"/>
  <c r="S28"/>
  <c r="I61"/>
  <c r="J61" s="1"/>
  <c r="K61" s="1"/>
  <c r="H62"/>
  <c r="R25"/>
  <c r="P25"/>
  <c r="O25"/>
  <c r="S25"/>
  <c r="M25"/>
  <c r="N25" s="1"/>
  <c r="Q25"/>
  <c r="P60"/>
  <c r="S60"/>
  <c r="Q60"/>
  <c r="O60"/>
  <c r="M60"/>
  <c r="N60" s="1"/>
  <c r="R60"/>
  <c r="R24"/>
  <c r="Q24"/>
  <c r="P24"/>
  <c r="O24"/>
  <c r="S24"/>
  <c r="M24"/>
  <c r="N24" s="1"/>
  <c r="R29"/>
  <c r="P29"/>
  <c r="O29"/>
  <c r="S29"/>
  <c r="M29"/>
  <c r="N29" s="1"/>
  <c r="Q29"/>
  <c r="H63" l="1"/>
  <c r="I62"/>
  <c r="P61"/>
  <c r="R61"/>
  <c r="M61"/>
  <c r="S61"/>
  <c r="Q61"/>
  <c r="O61"/>
  <c r="N61"/>
  <c r="J62" l="1"/>
  <c r="H64"/>
  <c r="I63"/>
  <c r="J63" s="1"/>
  <c r="K63" s="1"/>
  <c r="P63" l="1"/>
  <c r="O63"/>
  <c r="Q63"/>
  <c r="S63"/>
  <c r="M63"/>
  <c r="N63" s="1"/>
  <c r="R63"/>
  <c r="K62"/>
  <c r="I64"/>
  <c r="J64" s="1"/>
  <c r="K64" s="1"/>
  <c r="H65"/>
  <c r="P62" l="1"/>
  <c r="Q62"/>
  <c r="S62"/>
  <c r="M62"/>
  <c r="N62" s="1"/>
  <c r="R62"/>
  <c r="O62"/>
  <c r="H66"/>
  <c r="I66" s="1"/>
  <c r="I65"/>
  <c r="J65" s="1"/>
  <c r="P64"/>
  <c r="S64"/>
  <c r="R64"/>
  <c r="Q64"/>
  <c r="O64"/>
  <c r="M64"/>
  <c r="N64" s="1"/>
  <c r="J66" l="1"/>
  <c r="K66" s="1"/>
  <c r="K65"/>
  <c r="P65" l="1"/>
  <c r="R65"/>
  <c r="M65"/>
  <c r="N65" s="1"/>
  <c r="S65"/>
  <c r="Q65"/>
  <c r="O65"/>
  <c r="P66"/>
  <c r="Q66"/>
  <c r="O66"/>
  <c r="S66"/>
  <c r="M66"/>
  <c r="N66" s="1"/>
  <c r="R66"/>
  <c r="AA136" i="8"/>
  <c r="AA139"/>
  <c r="AA134"/>
  <c r="AA140" l="1"/>
</calcChain>
</file>

<file path=xl/sharedStrings.xml><?xml version="1.0" encoding="utf-8"?>
<sst xmlns="http://schemas.openxmlformats.org/spreadsheetml/2006/main" count="1630" uniqueCount="410">
  <si>
    <t>PHASE</t>
  </si>
  <si>
    <t>LOT NO</t>
  </si>
  <si>
    <t>AREA</t>
  </si>
  <si>
    <t>PRICE/SQM</t>
  </si>
  <si>
    <t>LOT PRICE</t>
  </si>
  <si>
    <t>RESERVATION FEE</t>
  </si>
  <si>
    <t>OPTION 1</t>
  </si>
  <si>
    <t>OPTION 3</t>
  </si>
  <si>
    <t>A-8-C-6</t>
  </si>
  <si>
    <t>A-7</t>
  </si>
  <si>
    <t>Expenses related to the mortgage of balance with pag-ibig or bank shall be for the account of the buyer.</t>
  </si>
  <si>
    <t>GLCI will assist individual buyers in applying pag-ibig or bank financing.</t>
  </si>
  <si>
    <t>Tawang Project</t>
  </si>
  <si>
    <t>LOT INVENTORY</t>
  </si>
  <si>
    <t>AS IS WHERE IS Lots for Sale</t>
  </si>
  <si>
    <t>Block no.</t>
  </si>
  <si>
    <t>Lot no.</t>
  </si>
  <si>
    <t>Area</t>
  </si>
  <si>
    <t>type</t>
  </si>
  <si>
    <t>Road</t>
  </si>
  <si>
    <t>terrain</t>
  </si>
  <si>
    <t>Price per sqm</t>
  </si>
  <si>
    <t>Selling Price</t>
  </si>
  <si>
    <t>5% other charges</t>
  </si>
  <si>
    <t>Total Contract Price</t>
  </si>
  <si>
    <t>Reservation Fee</t>
  </si>
  <si>
    <t>OPTION 2</t>
  </si>
  <si>
    <t>Spot cash(TCP) with 5% discount if paid 7 days after RF</t>
  </si>
  <si>
    <t>20%DP in 6 mos.+Other charges</t>
  </si>
  <si>
    <t>80% in 3 yrs @ 0% interest + other charges</t>
  </si>
  <si>
    <t xml:space="preserve">10% of TCP on the 12th,24th,&amp; 36th mo. </t>
  </si>
  <si>
    <t xml:space="preserve">70% for 39 mos </t>
  </si>
  <si>
    <t>20% spot DP with 3% discount and 6 mos.moratorium</t>
  </si>
  <si>
    <t>Discount</t>
  </si>
  <si>
    <t>Net TCP</t>
  </si>
  <si>
    <t>corner</t>
  </si>
  <si>
    <t>RF</t>
  </si>
  <si>
    <t>inner lot</t>
  </si>
  <si>
    <t>F</t>
  </si>
  <si>
    <t>R</t>
  </si>
  <si>
    <t>S</t>
  </si>
  <si>
    <t xml:space="preserve"> </t>
  </si>
  <si>
    <t>R to S</t>
  </si>
  <si>
    <t>Alley</t>
  </si>
  <si>
    <t>Legend:</t>
  </si>
  <si>
    <t>Flat Terrain</t>
  </si>
  <si>
    <t>Relatively Flat Terrain</t>
  </si>
  <si>
    <t>Rolling Terrain</t>
  </si>
  <si>
    <t>Steep Terrain</t>
  </si>
  <si>
    <t xml:space="preserve">ROCKVALLEY </t>
  </si>
  <si>
    <t xml:space="preserve">Block </t>
  </si>
  <si>
    <t>Lot</t>
  </si>
  <si>
    <t>Reservation fee</t>
  </si>
  <si>
    <t>TOTAL PRICE</t>
  </si>
  <si>
    <t>As of September 2012</t>
  </si>
  <si>
    <t>80% balance will commence after 6 mos,5 yrs @ 0% interest + other charges</t>
  </si>
  <si>
    <t>TSP less RF payable in 5 yrs.@ 0% interest + other charges</t>
  </si>
  <si>
    <t>NEW DAY VILLAGE</t>
  </si>
  <si>
    <t>Project :  THE COURTYARDS</t>
  </si>
  <si>
    <t>Building : Cabins</t>
  </si>
  <si>
    <t>Building</t>
  </si>
  <si>
    <t>Floor</t>
  </si>
  <si>
    <t>Unit No.</t>
  </si>
  <si>
    <t>TOTAL CONTRACT PRICE</t>
  </si>
  <si>
    <t>DOWNPAYMENT OPTIONS</t>
  </si>
  <si>
    <t>BALANCE</t>
  </si>
  <si>
    <t>5% OTHER CHARGES</t>
  </si>
  <si>
    <t>NET DP</t>
  </si>
  <si>
    <t>Spot DP with 2% discount on DP</t>
  </si>
  <si>
    <t>10% payable before move-in</t>
  </si>
  <si>
    <t>10% in 6 months</t>
  </si>
  <si>
    <t>Alabama</t>
  </si>
  <si>
    <t>Ground Floor</t>
  </si>
  <si>
    <t>CAGA</t>
  </si>
  <si>
    <t>CAGB</t>
  </si>
  <si>
    <t>CAGC</t>
  </si>
  <si>
    <t>CAGD</t>
  </si>
  <si>
    <t>Second Floor</t>
  </si>
  <si>
    <t>CA2A</t>
  </si>
  <si>
    <t>CA2B</t>
  </si>
  <si>
    <t>CA 2C</t>
  </si>
  <si>
    <t>CA-2D</t>
  </si>
  <si>
    <t>Third Floor</t>
  </si>
  <si>
    <t>CA3A</t>
  </si>
  <si>
    <t>CA3B</t>
  </si>
  <si>
    <t>CA-3C</t>
  </si>
  <si>
    <t>CA3D</t>
  </si>
  <si>
    <t>Fourth Floor</t>
  </si>
  <si>
    <t>CA4A</t>
  </si>
  <si>
    <t>CA4B</t>
  </si>
  <si>
    <t>CA-4C</t>
  </si>
  <si>
    <t>CA4D</t>
  </si>
  <si>
    <t>Colorado</t>
  </si>
  <si>
    <t>CCGA</t>
  </si>
  <si>
    <t>CCGB</t>
  </si>
  <si>
    <t>CCGC</t>
  </si>
  <si>
    <t>CCGD</t>
  </si>
  <si>
    <t>CC2A</t>
  </si>
  <si>
    <t>CC 2B</t>
  </si>
  <si>
    <t>CC 2C</t>
  </si>
  <si>
    <t>CC 2D</t>
  </si>
  <si>
    <t>CC 3A</t>
  </si>
  <si>
    <t>CC 3C</t>
  </si>
  <si>
    <t>CC3D</t>
  </si>
  <si>
    <t>CC4A</t>
  </si>
  <si>
    <t>CC-4B</t>
  </si>
  <si>
    <t>CC-4C</t>
  </si>
  <si>
    <t>CC4D</t>
  </si>
  <si>
    <t>Arkansas</t>
  </si>
  <si>
    <t>CB-GA</t>
  </si>
  <si>
    <t>CB-GB</t>
  </si>
  <si>
    <t>CB-GC</t>
  </si>
  <si>
    <t>CB-GD</t>
  </si>
  <si>
    <t>CB-2A</t>
  </si>
  <si>
    <t>CB-2B</t>
  </si>
  <si>
    <t>CB-2C</t>
  </si>
  <si>
    <t>CB-2D</t>
  </si>
  <si>
    <t>CB 3A</t>
  </si>
  <si>
    <t>CB-3B</t>
  </si>
  <si>
    <t>CB-3C</t>
  </si>
  <si>
    <t>CB 3D</t>
  </si>
  <si>
    <t>CB 4A</t>
  </si>
  <si>
    <t>CB-4B</t>
  </si>
  <si>
    <t>CB-4C</t>
  </si>
  <si>
    <t>CB-4D</t>
  </si>
  <si>
    <t>Prices and payment terms are subject to change without prior notice. GLCI reserves the right to correct any typographical error in the preparation of pricelist.</t>
  </si>
  <si>
    <t>Building : Manors Block 1- 2BR</t>
  </si>
  <si>
    <t>Unit Area : 42 sqm , FULLY-FITTED</t>
  </si>
  <si>
    <t>FLOOR</t>
  </si>
  <si>
    <t>UNIT NO.</t>
  </si>
  <si>
    <t>CLASSIFICATION</t>
  </si>
  <si>
    <t>FLOOR AREA (SQMS.)</t>
  </si>
  <si>
    <t>PRICE PER SQM.</t>
  </si>
  <si>
    <t>Price per SQM.as of March 1,2012</t>
  </si>
  <si>
    <t>Price per SQM.as of May 10 2012</t>
  </si>
  <si>
    <t>TOTAL SELLING PRICE</t>
  </si>
  <si>
    <t>1B-001</t>
  </si>
  <si>
    <t>D</t>
  </si>
  <si>
    <t>1B-002</t>
  </si>
  <si>
    <t>E</t>
  </si>
  <si>
    <t>SECOND FLOOR</t>
  </si>
  <si>
    <t>THIRD FLOOR</t>
  </si>
  <si>
    <t>A</t>
  </si>
  <si>
    <t>C</t>
  </si>
  <si>
    <t>FOURTH FLOOR</t>
  </si>
  <si>
    <t>FIFTH FLOOR</t>
  </si>
  <si>
    <t>SIXTH FLOOR</t>
  </si>
  <si>
    <t>SOLD</t>
  </si>
  <si>
    <t>BLOCKED-OFF</t>
  </si>
  <si>
    <t>OPEN</t>
  </si>
  <si>
    <t>HOLD</t>
  </si>
  <si>
    <t>RESERVED BY MGMT</t>
  </si>
  <si>
    <t>NOTES:</t>
  </si>
  <si>
    <t>Only Full Reservation Fees with complete documents shall be accepted. Transfer of reservation from one unit to another shall be charged a fee of P15,000.00.</t>
  </si>
  <si>
    <t>*</t>
  </si>
  <si>
    <t>Miscellaneous expenses is included in the  monthly amortization of balance.</t>
  </si>
  <si>
    <t>Building : Manors Block 2- 2BR</t>
  </si>
  <si>
    <t>As of March 1,2012</t>
  </si>
  <si>
    <t>As of May 10,2012</t>
  </si>
  <si>
    <t>5% payable before move-in</t>
  </si>
  <si>
    <t>3B--006</t>
  </si>
  <si>
    <t>3B-007</t>
  </si>
  <si>
    <t>3B-008</t>
  </si>
  <si>
    <t>3B-009</t>
  </si>
  <si>
    <t>3B-010</t>
  </si>
  <si>
    <t>2B-006</t>
  </si>
  <si>
    <t>2B-007</t>
  </si>
  <si>
    <t>2B-008</t>
  </si>
  <si>
    <t>2B-009</t>
  </si>
  <si>
    <t>2B-010</t>
  </si>
  <si>
    <t>Building : Manors Block 3- 2BR</t>
  </si>
  <si>
    <t>Unit Area : 42 sqm , FULLY FITTED</t>
  </si>
  <si>
    <t>PRICE PER SQM. As of March 1,2012</t>
  </si>
  <si>
    <t>PRICE PER SQM.As of May 10,2012</t>
  </si>
  <si>
    <t>3B--001</t>
  </si>
  <si>
    <t>3B-002</t>
  </si>
  <si>
    <t>3B--003</t>
  </si>
  <si>
    <t>3B-004</t>
  </si>
  <si>
    <t>3B--005</t>
  </si>
  <si>
    <t>2B-001</t>
  </si>
  <si>
    <t>2B-002</t>
  </si>
  <si>
    <t>2B-003</t>
  </si>
  <si>
    <t>2B-004</t>
  </si>
  <si>
    <t>2B-005</t>
  </si>
  <si>
    <t>1B-003</t>
  </si>
  <si>
    <t>1B-004</t>
  </si>
  <si>
    <t>1B-005</t>
  </si>
  <si>
    <t>1B-006</t>
  </si>
  <si>
    <t>1B-007</t>
  </si>
  <si>
    <t>1B-008</t>
  </si>
  <si>
    <t>1B-009</t>
  </si>
  <si>
    <t>B</t>
  </si>
  <si>
    <t>PRICE PER SQM. As of March 1 2012</t>
  </si>
  <si>
    <t>PRICE PER SQM. As of May 10 2012</t>
  </si>
  <si>
    <t>1B-010</t>
  </si>
  <si>
    <t>1B-011</t>
  </si>
  <si>
    <t>1B-012</t>
  </si>
  <si>
    <t>1B-013</t>
  </si>
  <si>
    <t>1B-014</t>
  </si>
  <si>
    <t>1B-015</t>
  </si>
  <si>
    <t>1B-016</t>
  </si>
  <si>
    <t>1B-017</t>
  </si>
  <si>
    <t>1B-018</t>
  </si>
  <si>
    <t>1B-019</t>
  </si>
  <si>
    <t>1B-020</t>
  </si>
  <si>
    <t>6F</t>
  </si>
  <si>
    <t>5F</t>
  </si>
  <si>
    <t>4F</t>
  </si>
  <si>
    <t>3F</t>
  </si>
  <si>
    <t>2F</t>
  </si>
  <si>
    <t>Net DP Payable in 18 mos.</t>
  </si>
  <si>
    <t>10% before move-in</t>
  </si>
  <si>
    <t>10% DP less RF for 17 mos</t>
  </si>
  <si>
    <t>(Tentative)</t>
  </si>
  <si>
    <t>80% Balance</t>
  </si>
  <si>
    <t>NET 20% DP</t>
  </si>
  <si>
    <t>CURRENT SELLING PRICE</t>
  </si>
  <si>
    <t>OFFICIAL PRICELIST</t>
  </si>
  <si>
    <t>Unit Area : 20 sqm , FULLY FITTED</t>
  </si>
  <si>
    <t>Building : Wharton</t>
  </si>
  <si>
    <t>Project :  NORTH CAMBRIDGE</t>
  </si>
  <si>
    <t xml:space="preserve">Unit </t>
  </si>
  <si>
    <t>Unit Area : 15 sqm , FULLY FURNISHED</t>
  </si>
  <si>
    <t>Regular Unit</t>
  </si>
  <si>
    <t>Corner Unit</t>
  </si>
  <si>
    <t>GROUND FLOOR</t>
  </si>
  <si>
    <t>UPPER GROUND FLOOR</t>
  </si>
  <si>
    <t>LOWER GROUND FLOOR</t>
  </si>
  <si>
    <t>Building : Princeton</t>
  </si>
  <si>
    <t>Inhouse-15 years @ 13%+ other charges</t>
  </si>
  <si>
    <t>90% bal</t>
  </si>
  <si>
    <t>NET DP IN 12 MOS</t>
  </si>
  <si>
    <t>10% NET DP</t>
  </si>
  <si>
    <t>DOWNPAYMENT</t>
  </si>
  <si>
    <t>As of August 2012</t>
  </si>
  <si>
    <t>Building : Harvard</t>
  </si>
  <si>
    <t>NET 30% DP in 24 mos</t>
  </si>
  <si>
    <t>BALANCE THRU PAG-IBIG/BANK + OTHER CHARGES</t>
  </si>
  <si>
    <t>TSP less RF in 3 years @ 0% Interest + OTHER CHARGES</t>
  </si>
  <si>
    <t>70% Balance shall be paid on a lumpsum basis after completion of the 30% downpayment thru Pag-ibig or Bank Financing.</t>
  </si>
  <si>
    <t>OPTION3</t>
  </si>
  <si>
    <t>20% DP in 22 mos less RF</t>
  </si>
  <si>
    <t>5% on the 13th mo.</t>
  </si>
  <si>
    <t>5% on the on the 24th mo.</t>
  </si>
  <si>
    <t>TCP in 5 yrs @ 0% interest</t>
  </si>
  <si>
    <t>50%  in 12th,24th,36th,48th &amp; 60th mo.</t>
  </si>
  <si>
    <t>50% in 55 mos.</t>
  </si>
  <si>
    <t>As of February 1, 2013</t>
  </si>
  <si>
    <t>MISCELLANEOUS FEE</t>
  </si>
  <si>
    <t>COMPUTATION &amp; BREAKDOWN</t>
  </si>
  <si>
    <t>NORTH CAMBRIDGE  PROJECT</t>
  </si>
  <si>
    <t>Projects</t>
  </si>
  <si>
    <t>Agency</t>
  </si>
  <si>
    <t>Nature</t>
  </si>
  <si>
    <t>Amount/percentage</t>
  </si>
  <si>
    <t>a</t>
  </si>
  <si>
    <t>Doc stamps</t>
  </si>
  <si>
    <t>BIR</t>
  </si>
  <si>
    <t>Fixed %</t>
  </si>
  <si>
    <t>1.5% of Selling Price</t>
  </si>
  <si>
    <t>b</t>
  </si>
  <si>
    <t>CAR Certification fee</t>
  </si>
  <si>
    <t>Fixed Amt.</t>
  </si>
  <si>
    <t>c</t>
  </si>
  <si>
    <t>Transfer tax</t>
  </si>
  <si>
    <t>Assessor's Office</t>
  </si>
  <si>
    <t>.75% of Selling Price</t>
  </si>
  <si>
    <t>d</t>
  </si>
  <si>
    <t>RD Entry fee</t>
  </si>
  <si>
    <t>Register of Deeds</t>
  </si>
  <si>
    <t>e</t>
  </si>
  <si>
    <t>g</t>
  </si>
  <si>
    <t>Notarial Fees</t>
  </si>
  <si>
    <t>1% of selling price</t>
  </si>
  <si>
    <t>COURTYARDS PROJECT</t>
  </si>
  <si>
    <t>a.</t>
  </si>
  <si>
    <t>b.</t>
  </si>
  <si>
    <t>c.</t>
  </si>
  <si>
    <t>d.</t>
  </si>
  <si>
    <t>e.</t>
  </si>
  <si>
    <t>f.</t>
  </si>
  <si>
    <t>g.</t>
  </si>
  <si>
    <t>SUMMERFIELDS,ROCKVALLEY, NEW DAY, &amp; OLD PROJECTS</t>
  </si>
  <si>
    <t>Lots Only</t>
  </si>
  <si>
    <t>.5% of Selling Price</t>
  </si>
  <si>
    <t>Transfer fee</t>
  </si>
  <si>
    <t>House &amp; Lot package</t>
  </si>
  <si>
    <t>1.5% of Lot Selling Price</t>
  </si>
  <si>
    <t>.5% of Lot  Selling Price</t>
  </si>
  <si>
    <t>1% of Lot Selling Price</t>
  </si>
  <si>
    <t>h.</t>
  </si>
  <si>
    <t>Beneco installation, meter &amp; energy deposit</t>
  </si>
  <si>
    <t>Fixe Amt.</t>
  </si>
  <si>
    <t>i.</t>
  </si>
  <si>
    <t>Bawadi installation  &amp; meter</t>
  </si>
  <si>
    <t>Miscellaneous fees(with separate computation) shall be paid before title is transferred to the buyer to cover transfer expense</t>
  </si>
  <si>
    <t>Prices and terms are subject to change without prior notice.</t>
  </si>
  <si>
    <t>INVENTORY PRICELIST</t>
  </si>
  <si>
    <t>20% in 29mos</t>
  </si>
  <si>
    <t>30% DOWNPAYMENT OPTIONS</t>
  </si>
  <si>
    <t>10% on the 30th mo.</t>
  </si>
  <si>
    <t>30% payable in 30mos.</t>
  </si>
  <si>
    <t>70% balance  (Bank or Pag-ibig) + other charges</t>
  </si>
  <si>
    <t>Notes:</t>
  </si>
  <si>
    <t>Notes :</t>
  </si>
  <si>
    <t>TSP</t>
  </si>
  <si>
    <t>Miscellaneous fee</t>
  </si>
  <si>
    <t>Miscellaneous fee  shall be paid before title is transferred to the buyer to cover transfer expense</t>
  </si>
  <si>
    <t>Inhouse-15 years @ 15%+ Miscellaneous fee</t>
  </si>
  <si>
    <t>Price per SQM.as of Feb 1, 2013</t>
  </si>
  <si>
    <t>NET DP Payable in 6 mos.</t>
  </si>
  <si>
    <t>10%NET DP</t>
  </si>
  <si>
    <t>5% DP payable in 6 mos.</t>
  </si>
  <si>
    <t>5% DP payable before move-in</t>
  </si>
  <si>
    <t>10% DOWNPAYMENT OPTIONS</t>
  </si>
  <si>
    <t>90% BALANCE</t>
  </si>
  <si>
    <t>Inhouse-15 years @ 14%+ Miscellaneous fee</t>
  </si>
  <si>
    <t>As of Feb 1 2013</t>
  </si>
  <si>
    <t>Project : The Courtyards</t>
  </si>
  <si>
    <t>Project: The Courtyards</t>
  </si>
  <si>
    <t>Net DP payable in 12mos.</t>
  </si>
  <si>
    <t>5% payable in 11 mos.</t>
  </si>
  <si>
    <t>PRICE PER SQM.As of Feb 1 10,2013</t>
  </si>
  <si>
    <t>Net DP payable in 18 mos.</t>
  </si>
  <si>
    <t>15% payable in 17 mos</t>
  </si>
  <si>
    <t>Inhouse-15 years @ 14%+ Miscellaneous</t>
  </si>
  <si>
    <t>Building: Manors Loft</t>
  </si>
  <si>
    <t>10% payable in  6th,12th,18th</t>
  </si>
  <si>
    <t>10% payable in 15mos.</t>
  </si>
  <si>
    <t>3F-I</t>
  </si>
  <si>
    <t>3F-J</t>
  </si>
  <si>
    <t>5F-12</t>
  </si>
  <si>
    <t>GJ-J</t>
  </si>
  <si>
    <t>LGF-3</t>
  </si>
  <si>
    <t>LGF-5</t>
  </si>
  <si>
    <t>LGF2-5</t>
  </si>
  <si>
    <t>LGF3-1</t>
  </si>
  <si>
    <t>LGF3-3</t>
  </si>
  <si>
    <t>UGF-10</t>
  </si>
  <si>
    <t>UGF-13</t>
  </si>
  <si>
    <t>UGF-6</t>
  </si>
  <si>
    <t>UGF-7</t>
  </si>
  <si>
    <t>UGF-9</t>
  </si>
  <si>
    <t>UGF-E</t>
  </si>
  <si>
    <t>Project : North Cambridge</t>
  </si>
  <si>
    <t>Area: 15 sqm fully-furnished</t>
  </si>
  <si>
    <t>As of Feb 1, 2013</t>
  </si>
  <si>
    <t>NET 10% DP</t>
  </si>
  <si>
    <t>net DP in 3 mos.</t>
  </si>
  <si>
    <t>10% spot dp with 4% discount</t>
  </si>
  <si>
    <t>90% Balance</t>
  </si>
  <si>
    <t>2LC-East</t>
  </si>
  <si>
    <t>2LH-West</t>
  </si>
  <si>
    <t>5LC-West</t>
  </si>
  <si>
    <t>5LK-East</t>
  </si>
  <si>
    <t>GLC-West</t>
  </si>
  <si>
    <t>GLM-East</t>
  </si>
  <si>
    <t>LG-03</t>
  </si>
  <si>
    <t>LGB-West</t>
  </si>
  <si>
    <t>LGD-West</t>
  </si>
  <si>
    <t>LGP-East</t>
  </si>
  <si>
    <t>UG-02</t>
  </si>
  <si>
    <t>UGL-West</t>
  </si>
  <si>
    <t>NET DP IN 6MOS</t>
  </si>
  <si>
    <t>As of February 1 , 2013</t>
  </si>
  <si>
    <t>As of February  1, 2013</t>
  </si>
  <si>
    <t>Sample computation:</t>
  </si>
  <si>
    <t>Inhouse-15 years @ 13%+ Miscellaneous fee</t>
  </si>
  <si>
    <t>Inhouse-15 years @ 13%+ miscellaneous</t>
  </si>
  <si>
    <t>Phase/Blk/lot no</t>
  </si>
  <si>
    <t>SF-012006</t>
  </si>
  <si>
    <t>SF-0212001</t>
  </si>
  <si>
    <t>SF-0319008</t>
  </si>
  <si>
    <t>TSP in 5 yrs ,0% interest</t>
  </si>
  <si>
    <t>50% in 59mos.</t>
  </si>
  <si>
    <t>50% thru pag-ibig /bank</t>
  </si>
  <si>
    <t>50% Balance shall be paid on a lumpsum basis after completion of the 50% downpayment thru Pag-ibig or Bank Financing.</t>
  </si>
  <si>
    <t>Project :  Summerfields</t>
  </si>
  <si>
    <t>Inventory Pricelist</t>
  </si>
  <si>
    <t>Project :  The Courtyards</t>
  </si>
  <si>
    <t>Building : Manors</t>
  </si>
  <si>
    <t>1st basement parking slot</t>
  </si>
  <si>
    <t>P-001</t>
  </si>
  <si>
    <t>P-002</t>
  </si>
  <si>
    <t>P-003</t>
  </si>
  <si>
    <t>P-004</t>
  </si>
  <si>
    <t>P-005</t>
  </si>
  <si>
    <t>P-006</t>
  </si>
  <si>
    <t>P-007</t>
  </si>
  <si>
    <t>P-008</t>
  </si>
  <si>
    <t>P-009</t>
  </si>
  <si>
    <t>P-010</t>
  </si>
  <si>
    <t>P-011</t>
  </si>
  <si>
    <t>P-012</t>
  </si>
  <si>
    <t>P-013</t>
  </si>
  <si>
    <t>P-014</t>
  </si>
  <si>
    <t>P-015</t>
  </si>
  <si>
    <t>P-016</t>
  </si>
  <si>
    <t>P-017</t>
  </si>
  <si>
    <t>P-018</t>
  </si>
  <si>
    <t>P-019</t>
  </si>
  <si>
    <t>TSP in 5 yrs.,0% interest</t>
  </si>
  <si>
    <t>Slot no.</t>
  </si>
  <si>
    <t>Total Selling Price</t>
  </si>
  <si>
    <t>Option 1</t>
  </si>
  <si>
    <t>Option 2</t>
  </si>
  <si>
    <t>30% spot dp with 10% discount</t>
  </si>
  <si>
    <t>70% bal. in 59 mos.,0%interest</t>
  </si>
  <si>
    <t>Option 3</t>
  </si>
  <si>
    <t>Spot cash with 12% discount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</si>
</sst>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&quot;$&quot;#,##0.00_);[Red]\(&quot;$&quot;#,##0.00\)"/>
    <numFmt numFmtId="165" formatCode="_(* #,##0_);_(* \(#,##0\);_(* &quot;-&quot;??_);_(@_)"/>
    <numFmt numFmtId="166" formatCode="[$-409]mmm\-yy;@"/>
    <numFmt numFmtId="167" formatCode="[$-409]d\-mmm\-yy;@"/>
    <numFmt numFmtId="168" formatCode="0.0000%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9"/>
      <color theme="4" tint="-0.249977111117893"/>
      <name val="Arial"/>
      <family val="2"/>
    </font>
    <font>
      <sz val="9"/>
      <color theme="1"/>
      <name val="Arial Narrow"/>
      <family val="2"/>
    </font>
    <font>
      <b/>
      <sz val="8"/>
      <name val="Arial"/>
      <family val="2"/>
    </font>
    <font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8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0" fontId="2" fillId="2" borderId="0" xfId="0" applyFont="1" applyFill="1" applyAlignment="1">
      <alignment horizontal="left"/>
    </xf>
    <xf numFmtId="165" fontId="3" fillId="2" borderId="0" xfId="1" applyNumberFormat="1" applyFont="1" applyFill="1"/>
    <xf numFmtId="43" fontId="3" fillId="2" borderId="0" xfId="1" applyFont="1" applyFill="1"/>
    <xf numFmtId="0" fontId="3" fillId="2" borderId="0" xfId="0" applyFont="1" applyFill="1" applyAlignment="1">
      <alignment horizontal="center" vertical="center" wrapText="1"/>
    </xf>
    <xf numFmtId="165" fontId="3" fillId="2" borderId="1" xfId="1" applyNumberFormat="1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43" fontId="3" fillId="2" borderId="1" xfId="1" applyFont="1" applyFill="1" applyBorder="1"/>
    <xf numFmtId="0" fontId="3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left"/>
    </xf>
    <xf numFmtId="0" fontId="5" fillId="2" borderId="0" xfId="0" applyFont="1" applyFill="1" applyBorder="1" applyAlignment="1"/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165" fontId="5" fillId="2" borderId="3" xfId="1" applyNumberFormat="1" applyFont="1" applyFill="1" applyBorder="1" applyAlignment="1">
      <alignment horizontal="right"/>
    </xf>
    <xf numFmtId="165" fontId="5" fillId="2" borderId="3" xfId="1" applyNumberFormat="1" applyFont="1" applyFill="1" applyBorder="1" applyAlignment="1"/>
    <xf numFmtId="165" fontId="5" fillId="2" borderId="7" xfId="1" applyNumberFormat="1" applyFont="1" applyFill="1" applyBorder="1" applyAlignment="1">
      <alignment horizontal="right"/>
    </xf>
    <xf numFmtId="165" fontId="5" fillId="2" borderId="7" xfId="1" applyNumberFormat="1" applyFont="1" applyFill="1" applyBorder="1" applyAlignment="1"/>
    <xf numFmtId="0" fontId="7" fillId="2" borderId="0" xfId="0" applyFont="1" applyFill="1" applyBorder="1" applyAlignment="1"/>
    <xf numFmtId="38" fontId="7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/>
    <xf numFmtId="0" fontId="3" fillId="2" borderId="3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/>
    </xf>
    <xf numFmtId="0" fontId="6" fillId="2" borderId="0" xfId="0" applyFont="1" applyFill="1"/>
    <xf numFmtId="0" fontId="8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165" fontId="6" fillId="2" borderId="0" xfId="1" applyNumberFormat="1" applyFont="1" applyFill="1" applyAlignment="1">
      <alignment horizontal="center"/>
    </xf>
    <xf numFmtId="165" fontId="6" fillId="2" borderId="0" xfId="1" applyNumberFormat="1" applyFont="1" applyFill="1"/>
    <xf numFmtId="165" fontId="6" fillId="2" borderId="0" xfId="1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top" wrapText="1"/>
    </xf>
    <xf numFmtId="165" fontId="7" fillId="2" borderId="0" xfId="1" applyNumberFormat="1" applyFont="1" applyFill="1" applyAlignment="1">
      <alignment horizontal="left" vertical="top" wrapText="1"/>
    </xf>
    <xf numFmtId="165" fontId="7" fillId="2" borderId="0" xfId="1" applyNumberFormat="1" applyFont="1" applyFill="1" applyBorder="1" applyAlignment="1">
      <alignment horizontal="center"/>
    </xf>
    <xf numFmtId="165" fontId="7" fillId="2" borderId="0" xfId="1" applyNumberFormat="1" applyFont="1" applyFill="1" applyAlignment="1">
      <alignment horizontal="center"/>
    </xf>
    <xf numFmtId="165" fontId="7" fillId="2" borderId="0" xfId="1" applyNumberFormat="1" applyFont="1" applyFill="1"/>
    <xf numFmtId="0" fontId="7" fillId="2" borderId="0" xfId="0" applyFont="1" applyFill="1"/>
    <xf numFmtId="0" fontId="7" fillId="2" borderId="0" xfId="0" applyFont="1" applyFill="1" applyBorder="1"/>
    <xf numFmtId="165" fontId="7" fillId="2" borderId="0" xfId="1" applyNumberFormat="1" applyFont="1" applyFill="1" applyBorder="1"/>
    <xf numFmtId="165" fontId="7" fillId="2" borderId="0" xfId="1" applyNumberFormat="1" applyFont="1" applyFill="1" applyBorder="1" applyAlignment="1">
      <alignment horizontal="center" vertical="center" wrapText="1"/>
    </xf>
    <xf numFmtId="165" fontId="7" fillId="2" borderId="1" xfId="1" applyNumberFormat="1" applyFont="1" applyFill="1" applyBorder="1" applyAlignment="1">
      <alignment wrapText="1"/>
    </xf>
    <xf numFmtId="0" fontId="8" fillId="2" borderId="0" xfId="0" applyFont="1" applyFill="1"/>
    <xf numFmtId="165" fontId="6" fillId="2" borderId="1" xfId="1" applyNumberFormat="1" applyFont="1" applyFill="1" applyBorder="1"/>
    <xf numFmtId="165" fontId="6" fillId="2" borderId="1" xfId="1" applyNumberFormat="1" applyFont="1" applyFill="1" applyBorder="1" applyAlignment="1">
      <alignment horizontal="center"/>
    </xf>
    <xf numFmtId="165" fontId="6" fillId="2" borderId="1" xfId="0" applyNumberFormat="1" applyFont="1" applyFill="1" applyBorder="1"/>
    <xf numFmtId="43" fontId="6" fillId="2" borderId="0" xfId="0" applyNumberFormat="1" applyFont="1" applyFill="1"/>
    <xf numFmtId="165" fontId="6" fillId="2" borderId="0" xfId="0" applyNumberFormat="1" applyFont="1" applyFill="1"/>
    <xf numFmtId="165" fontId="7" fillId="2" borderId="1" xfId="1" applyNumberFormat="1" applyFont="1" applyFill="1" applyBorder="1"/>
    <xf numFmtId="165" fontId="7" fillId="2" borderId="1" xfId="1" applyNumberFormat="1" applyFont="1" applyFill="1" applyBorder="1" applyAlignment="1">
      <alignment vertical="center" wrapText="1"/>
    </xf>
    <xf numFmtId="165" fontId="7" fillId="2" borderId="1" xfId="1" applyNumberFormat="1" applyFont="1" applyFill="1" applyBorder="1" applyAlignment="1">
      <alignment horizontal="center"/>
    </xf>
    <xf numFmtId="0" fontId="6" fillId="2" borderId="1" xfId="0" applyFont="1" applyFill="1" applyBorder="1"/>
    <xf numFmtId="167" fontId="6" fillId="2" borderId="1" xfId="0" applyNumberFormat="1" applyFont="1" applyFill="1" applyBorder="1" applyAlignment="1">
      <alignment horizontal="center"/>
    </xf>
    <xf numFmtId="0" fontId="10" fillId="2" borderId="0" xfId="0" applyFont="1" applyFill="1"/>
    <xf numFmtId="0" fontId="10" fillId="2" borderId="0" xfId="0" applyFont="1" applyFill="1" applyAlignment="1">
      <alignment horizontal="center"/>
    </xf>
    <xf numFmtId="43" fontId="10" fillId="2" borderId="0" xfId="1" applyFont="1" applyFill="1" applyAlignment="1">
      <alignment horizontal="center"/>
    </xf>
    <xf numFmtId="43" fontId="10" fillId="2" borderId="0" xfId="1" applyFont="1" applyFill="1"/>
    <xf numFmtId="0" fontId="6" fillId="2" borderId="0" xfId="0" applyFont="1" applyFill="1" applyAlignment="1">
      <alignment vertical="center" wrapText="1"/>
    </xf>
    <xf numFmtId="165" fontId="6" fillId="2" borderId="0" xfId="1" applyNumberFormat="1" applyFont="1" applyFill="1" applyBorder="1"/>
    <xf numFmtId="0" fontId="6" fillId="2" borderId="0" xfId="0" applyFont="1" applyFill="1" applyBorder="1"/>
    <xf numFmtId="165" fontId="6" fillId="2" borderId="0" xfId="1" applyNumberFormat="1" applyFont="1" applyFill="1" applyBorder="1" applyAlignment="1">
      <alignment horizontal="center" wrapText="1"/>
    </xf>
    <xf numFmtId="165" fontId="8" fillId="2" borderId="0" xfId="1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0" xfId="0" applyFont="1" applyFill="1"/>
    <xf numFmtId="165" fontId="6" fillId="2" borderId="0" xfId="0" applyNumberFormat="1" applyFont="1" applyFill="1" applyAlignment="1">
      <alignment horizontal="center"/>
    </xf>
    <xf numFmtId="165" fontId="6" fillId="2" borderId="0" xfId="1" applyNumberFormat="1" applyFont="1" applyFill="1" applyAlignment="1">
      <alignment horizontal="left"/>
    </xf>
    <xf numFmtId="0" fontId="6" fillId="4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3" fillId="2" borderId="0" xfId="0" applyFont="1" applyFill="1" applyBorder="1"/>
    <xf numFmtId="0" fontId="5" fillId="2" borderId="0" xfId="0" applyFont="1" applyFill="1" applyAlignment="1">
      <alignment horizontal="center"/>
    </xf>
    <xf numFmtId="43" fontId="5" fillId="2" borderId="0" xfId="1" applyFont="1" applyFill="1" applyAlignment="1">
      <alignment horizontal="center"/>
    </xf>
    <xf numFmtId="43" fontId="5" fillId="2" borderId="0" xfId="1" applyFont="1" applyFill="1"/>
    <xf numFmtId="0" fontId="5" fillId="2" borderId="0" xfId="0" applyFont="1" applyFill="1"/>
    <xf numFmtId="43" fontId="5" fillId="2" borderId="0" xfId="1" applyFont="1" applyFill="1" applyBorder="1" applyAlignment="1">
      <alignment horizontal="center"/>
    </xf>
    <xf numFmtId="165" fontId="5" fillId="2" borderId="0" xfId="1" applyNumberFormat="1" applyFont="1" applyFill="1"/>
    <xf numFmtId="0" fontId="5" fillId="2" borderId="0" xfId="0" applyFont="1" applyFill="1" applyAlignment="1">
      <alignment horizontal="right"/>
    </xf>
    <xf numFmtId="0" fontId="6" fillId="0" borderId="0" xfId="0" applyFont="1" applyFill="1"/>
    <xf numFmtId="43" fontId="6" fillId="2" borderId="0" xfId="1" applyFont="1" applyFill="1"/>
    <xf numFmtId="43" fontId="6" fillId="2" borderId="0" xfId="1" applyFont="1" applyFill="1" applyBorder="1" applyAlignment="1">
      <alignment horizontal="center" wrapText="1"/>
    </xf>
    <xf numFmtId="43" fontId="8" fillId="2" borderId="0" xfId="1" applyFont="1" applyFill="1"/>
    <xf numFmtId="165" fontId="8" fillId="2" borderId="0" xfId="1" applyNumberFormat="1" applyFont="1" applyFill="1"/>
    <xf numFmtId="43" fontId="6" fillId="2" borderId="1" xfId="1" applyFont="1" applyFill="1" applyBorder="1" applyAlignment="1">
      <alignment horizontal="center"/>
    </xf>
    <xf numFmtId="43" fontId="6" fillId="2" borderId="0" xfId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65" fontId="6" fillId="0" borderId="1" xfId="1" applyNumberFormat="1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165" fontId="6" fillId="7" borderId="1" xfId="1" applyNumberFormat="1" applyFont="1" applyFill="1" applyBorder="1" applyAlignment="1">
      <alignment horizontal="center"/>
    </xf>
    <xf numFmtId="0" fontId="6" fillId="7" borderId="0" xfId="0" applyFont="1" applyFill="1"/>
    <xf numFmtId="43" fontId="6" fillId="2" borderId="0" xfId="1" applyFont="1" applyFill="1" applyAlignment="1">
      <alignment horizontal="center"/>
    </xf>
    <xf numFmtId="43" fontId="6" fillId="2" borderId="0" xfId="1" applyFont="1" applyFill="1" applyAlignment="1">
      <alignment horizontal="left"/>
    </xf>
    <xf numFmtId="165" fontId="5" fillId="2" borderId="0" xfId="1" applyNumberFormat="1" applyFont="1" applyFill="1" applyAlignment="1">
      <alignment horizontal="center"/>
    </xf>
    <xf numFmtId="0" fontId="5" fillId="0" borderId="0" xfId="0" applyFont="1" applyFill="1"/>
    <xf numFmtId="0" fontId="7" fillId="2" borderId="0" xfId="0" applyFont="1" applyFill="1" applyBorder="1" applyAlignment="1">
      <alignment horizontal="center" vertical="center" wrapText="1"/>
    </xf>
    <xf numFmtId="165" fontId="10" fillId="2" borderId="0" xfId="1" applyNumberFormat="1" applyFont="1" applyFill="1" applyAlignment="1">
      <alignment horizontal="center"/>
    </xf>
    <xf numFmtId="165" fontId="5" fillId="2" borderId="8" xfId="1" applyNumberFormat="1" applyFont="1" applyFill="1" applyBorder="1" applyAlignment="1">
      <alignment wrapText="1"/>
    </xf>
    <xf numFmtId="165" fontId="5" fillId="2" borderId="14" xfId="1" applyNumberFormat="1" applyFont="1" applyFill="1" applyBorder="1" applyAlignment="1">
      <alignment wrapText="1"/>
    </xf>
    <xf numFmtId="0" fontId="6" fillId="2" borderId="7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43" fontId="6" fillId="2" borderId="0" xfId="1" applyFont="1" applyFill="1" applyAlignment="1"/>
    <xf numFmtId="165" fontId="6" fillId="2" borderId="0" xfId="1" applyNumberFormat="1" applyFont="1" applyFill="1" applyAlignment="1"/>
    <xf numFmtId="0" fontId="6" fillId="2" borderId="0" xfId="0" applyFont="1" applyFill="1" applyAlignment="1"/>
    <xf numFmtId="0" fontId="6" fillId="2" borderId="0" xfId="0" applyFont="1" applyFill="1" applyBorder="1" applyAlignment="1">
      <alignment horizontal="left"/>
    </xf>
    <xf numFmtId="0" fontId="13" fillId="2" borderId="0" xfId="0" applyFont="1" applyFill="1"/>
    <xf numFmtId="43" fontId="13" fillId="2" borderId="0" xfId="1" applyFont="1" applyFill="1"/>
    <xf numFmtId="165" fontId="13" fillId="2" borderId="0" xfId="1" applyNumberFormat="1" applyFont="1" applyFill="1"/>
    <xf numFmtId="43" fontId="13" fillId="2" borderId="0" xfId="1" applyFont="1" applyFill="1" applyAlignment="1">
      <alignment horizontal="center"/>
    </xf>
    <xf numFmtId="0" fontId="13" fillId="2" borderId="0" xfId="0" applyFont="1" applyFill="1" applyBorder="1"/>
    <xf numFmtId="0" fontId="13" fillId="2" borderId="0" xfId="0" applyFont="1" applyFill="1" applyAlignment="1">
      <alignment horizontal="center"/>
    </xf>
    <xf numFmtId="0" fontId="13" fillId="2" borderId="0" xfId="0" applyFont="1" applyFill="1" applyAlignment="1">
      <alignment horizontal="left"/>
    </xf>
    <xf numFmtId="0" fontId="13" fillId="2" borderId="0" xfId="0" applyFont="1" applyFill="1" applyAlignment="1">
      <alignment horizontal="left" vertical="center" wrapText="1"/>
    </xf>
    <xf numFmtId="165" fontId="13" fillId="2" borderId="0" xfId="1" applyNumberFormat="1" applyFont="1" applyFill="1" applyAlignment="1">
      <alignment horizontal="center"/>
    </xf>
    <xf numFmtId="0" fontId="13" fillId="2" borderId="0" xfId="0" applyFont="1" applyFill="1" applyAlignment="1">
      <alignment horizontal="right"/>
    </xf>
    <xf numFmtId="0" fontId="13" fillId="2" borderId="0" xfId="0" applyFont="1" applyFill="1" applyAlignment="1">
      <alignment horizontal="left" vertical="center"/>
    </xf>
    <xf numFmtId="43" fontId="13" fillId="2" borderId="0" xfId="1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43" fontId="13" fillId="2" borderId="0" xfId="1" applyFont="1" applyFill="1" applyBorder="1"/>
    <xf numFmtId="0" fontId="13" fillId="2" borderId="0" xfId="0" applyFont="1" applyFill="1" applyBorder="1" applyAlignment="1">
      <alignment horizontal="left" vertical="center"/>
    </xf>
    <xf numFmtId="43" fontId="13" fillId="2" borderId="1" xfId="1" applyFont="1" applyFill="1" applyBorder="1"/>
    <xf numFmtId="165" fontId="13" fillId="2" borderId="1" xfId="1" applyNumberFormat="1" applyFont="1" applyFill="1" applyBorder="1"/>
    <xf numFmtId="43" fontId="13" fillId="2" borderId="1" xfId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left"/>
    </xf>
    <xf numFmtId="165" fontId="13" fillId="2" borderId="0" xfId="1" applyNumberFormat="1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wrapText="1"/>
    </xf>
    <xf numFmtId="0" fontId="15" fillId="2" borderId="0" xfId="0" applyFont="1" applyFill="1"/>
    <xf numFmtId="43" fontId="15" fillId="2" borderId="0" xfId="1" applyFont="1" applyFill="1"/>
    <xf numFmtId="165" fontId="15" fillId="2" borderId="0" xfId="1" applyNumberFormat="1" applyFont="1" applyFill="1"/>
    <xf numFmtId="43" fontId="15" fillId="2" borderId="0" xfId="1" applyFont="1" applyFill="1" applyAlignment="1">
      <alignment horizontal="center"/>
    </xf>
    <xf numFmtId="165" fontId="16" fillId="2" borderId="0" xfId="1" applyNumberFormat="1" applyFont="1" applyFill="1" applyAlignment="1">
      <alignment horizontal="left" wrapText="1"/>
    </xf>
    <xf numFmtId="0" fontId="16" fillId="2" borderId="0" xfId="0" applyFont="1" applyFill="1"/>
    <xf numFmtId="43" fontId="16" fillId="2" borderId="0" xfId="1" applyFont="1" applyFill="1"/>
    <xf numFmtId="165" fontId="16" fillId="2" borderId="0" xfId="1" applyNumberFormat="1" applyFont="1" applyFill="1" applyBorder="1"/>
    <xf numFmtId="43" fontId="16" fillId="2" borderId="0" xfId="1" applyFont="1" applyFill="1" applyBorder="1"/>
    <xf numFmtId="9" fontId="13" fillId="2" borderId="0" xfId="2" applyFont="1" applyFill="1"/>
    <xf numFmtId="165" fontId="16" fillId="2" borderId="0" xfId="1" applyNumberFormat="1" applyFont="1" applyFill="1"/>
    <xf numFmtId="43" fontId="16" fillId="2" borderId="0" xfId="1" applyFont="1" applyFill="1" applyAlignment="1">
      <alignment horizontal="center"/>
    </xf>
    <xf numFmtId="165" fontId="16" fillId="2" borderId="0" xfId="1" applyNumberFormat="1" applyFont="1" applyFill="1" applyAlignment="1">
      <alignment horizontal="left" vertical="top" wrapText="1"/>
    </xf>
    <xf numFmtId="0" fontId="8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/>
    </xf>
    <xf numFmtId="166" fontId="6" fillId="2" borderId="1" xfId="0" applyNumberFormat="1" applyFont="1" applyFill="1" applyBorder="1" applyAlignment="1">
      <alignment horizontal="center" vertical="center" wrapText="1"/>
    </xf>
    <xf numFmtId="165" fontId="6" fillId="2" borderId="3" xfId="1" applyNumberFormat="1" applyFont="1" applyFill="1" applyBorder="1" applyAlignment="1">
      <alignment horizontal="center" vertical="center" wrapText="1"/>
    </xf>
    <xf numFmtId="165" fontId="6" fillId="2" borderId="7" xfId="1" applyNumberFormat="1" applyFont="1" applyFill="1" applyBorder="1" applyAlignment="1">
      <alignment horizontal="center" vertical="center" wrapText="1"/>
    </xf>
    <xf numFmtId="166" fontId="7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top" wrapText="1"/>
    </xf>
    <xf numFmtId="0" fontId="7" fillId="2" borderId="2" xfId="0" applyFont="1" applyFill="1" applyBorder="1" applyAlignment="1">
      <alignment horizontal="center" vertical="center" wrapText="1"/>
    </xf>
    <xf numFmtId="165" fontId="6" fillId="2" borderId="2" xfId="1" applyNumberFormat="1" applyFont="1" applyFill="1" applyBorder="1" applyAlignment="1">
      <alignment horizontal="center" wrapText="1"/>
    </xf>
    <xf numFmtId="165" fontId="6" fillId="2" borderId="3" xfId="1" applyNumberFormat="1" applyFont="1" applyFill="1" applyBorder="1" applyAlignment="1">
      <alignment horizontal="center" wrapText="1"/>
    </xf>
    <xf numFmtId="165" fontId="6" fillId="2" borderId="7" xfId="1" applyNumberFormat="1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wrapText="1"/>
    </xf>
    <xf numFmtId="43" fontId="7" fillId="2" borderId="2" xfId="1" applyFont="1" applyFill="1" applyBorder="1" applyAlignment="1">
      <alignment horizontal="center" vertical="center" wrapText="1"/>
    </xf>
    <xf numFmtId="165" fontId="7" fillId="2" borderId="2" xfId="1" applyNumberFormat="1" applyFont="1" applyFill="1" applyBorder="1" applyAlignment="1">
      <alignment horizontal="center" vertical="center" wrapText="1"/>
    </xf>
    <xf numFmtId="0" fontId="17" fillId="2" borderId="0" xfId="0" applyFont="1" applyFill="1"/>
    <xf numFmtId="0" fontId="18" fillId="2" borderId="0" xfId="0" applyFont="1" applyFill="1"/>
    <xf numFmtId="43" fontId="18" fillId="2" borderId="0" xfId="1" applyFont="1" applyFill="1" applyAlignment="1">
      <alignment horizontal="right"/>
    </xf>
    <xf numFmtId="0" fontId="17" fillId="2" borderId="0" xfId="0" applyFont="1" applyFill="1" applyBorder="1"/>
    <xf numFmtId="0" fontId="18" fillId="2" borderId="0" xfId="0" applyFont="1" applyFill="1" applyBorder="1"/>
    <xf numFmtId="43" fontId="18" fillId="2" borderId="0" xfId="1" applyFont="1" applyFill="1" applyBorder="1" applyAlignment="1">
      <alignment horizontal="right"/>
    </xf>
    <xf numFmtId="0" fontId="17" fillId="2" borderId="1" xfId="0" applyFont="1" applyFill="1" applyBorder="1"/>
    <xf numFmtId="43" fontId="17" fillId="2" borderId="1" xfId="1" applyFont="1" applyFill="1" applyBorder="1" applyAlignment="1">
      <alignment horizontal="right"/>
    </xf>
    <xf numFmtId="0" fontId="17" fillId="2" borderId="0" xfId="0" applyFont="1" applyFill="1" applyAlignment="1">
      <alignment horizontal="center"/>
    </xf>
    <xf numFmtId="0" fontId="18" fillId="2" borderId="1" xfId="0" applyFont="1" applyFill="1" applyBorder="1"/>
    <xf numFmtId="43" fontId="18" fillId="2" borderId="1" xfId="1" applyFont="1" applyFill="1" applyBorder="1" applyAlignment="1">
      <alignment horizontal="right"/>
    </xf>
    <xf numFmtId="43" fontId="18" fillId="2" borderId="0" xfId="1" applyFont="1" applyFill="1"/>
    <xf numFmtId="9" fontId="18" fillId="2" borderId="1" xfId="1" applyNumberFormat="1" applyFont="1" applyFill="1" applyBorder="1" applyAlignment="1">
      <alignment horizontal="right"/>
    </xf>
    <xf numFmtId="0" fontId="19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vertical="center"/>
    </xf>
    <xf numFmtId="3" fontId="6" fillId="2" borderId="3" xfId="1" applyNumberFormat="1" applyFont="1" applyFill="1" applyBorder="1" applyAlignment="1">
      <alignment vertical="center"/>
    </xf>
    <xf numFmtId="3" fontId="6" fillId="2" borderId="0" xfId="1" applyNumberFormat="1" applyFont="1" applyFill="1" applyBorder="1" applyAlignment="1">
      <alignment vertical="center"/>
    </xf>
    <xf numFmtId="3" fontId="6" fillId="2" borderId="3" xfId="1" applyNumberFormat="1" applyFont="1" applyFill="1" applyBorder="1" applyAlignment="1">
      <alignment horizontal="center"/>
    </xf>
    <xf numFmtId="3" fontId="6" fillId="2" borderId="0" xfId="1" applyNumberFormat="1" applyFont="1" applyFill="1" applyBorder="1" applyAlignment="1">
      <alignment horizontal="center"/>
    </xf>
    <xf numFmtId="3" fontId="6" fillId="2" borderId="14" xfId="1" applyNumberFormat="1" applyFont="1" applyFill="1" applyBorder="1" applyAlignment="1">
      <alignment horizontal="center"/>
    </xf>
    <xf numFmtId="0" fontId="6" fillId="2" borderId="1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3" fontId="6" fillId="2" borderId="12" xfId="0" applyNumberFormat="1" applyFont="1" applyFill="1" applyBorder="1" applyAlignment="1">
      <alignment vertical="center"/>
    </xf>
    <xf numFmtId="3" fontId="6" fillId="2" borderId="7" xfId="1" applyNumberFormat="1" applyFont="1" applyFill="1" applyBorder="1" applyAlignment="1">
      <alignment vertical="center"/>
    </xf>
    <xf numFmtId="3" fontId="6" fillId="2" borderId="12" xfId="1" applyNumberFormat="1" applyFont="1" applyFill="1" applyBorder="1" applyAlignment="1">
      <alignment vertical="center"/>
    </xf>
    <xf numFmtId="3" fontId="6" fillId="2" borderId="7" xfId="1" applyNumberFormat="1" applyFont="1" applyFill="1" applyBorder="1" applyAlignment="1">
      <alignment horizontal="center"/>
    </xf>
    <xf numFmtId="3" fontId="6" fillId="2" borderId="12" xfId="1" applyNumberFormat="1" applyFont="1" applyFill="1" applyBorder="1" applyAlignment="1">
      <alignment horizontal="center"/>
    </xf>
    <xf numFmtId="3" fontId="6" fillId="2" borderId="15" xfId="1" applyNumberFormat="1" applyFont="1" applyFill="1" applyBorder="1" applyAlignment="1">
      <alignment horizontal="center"/>
    </xf>
    <xf numFmtId="0" fontId="6" fillId="2" borderId="1" xfId="0" applyFont="1" applyFill="1" applyBorder="1" applyAlignment="1"/>
    <xf numFmtId="0" fontId="6" fillId="2" borderId="6" xfId="0" applyFont="1" applyFill="1" applyBorder="1" applyAlignment="1"/>
    <xf numFmtId="0" fontId="6" fillId="2" borderId="6" xfId="0" applyFont="1" applyFill="1" applyBorder="1" applyAlignment="1">
      <alignment horizontal="center"/>
    </xf>
    <xf numFmtId="0" fontId="6" fillId="2" borderId="2" xfId="0" applyFont="1" applyFill="1" applyBorder="1"/>
    <xf numFmtId="167" fontId="6" fillId="2" borderId="2" xfId="0" applyNumberFormat="1" applyFont="1" applyFill="1" applyBorder="1" applyAlignment="1">
      <alignment horizontal="center"/>
    </xf>
    <xf numFmtId="165" fontId="6" fillId="2" borderId="2" xfId="1" applyNumberFormat="1" applyFont="1" applyFill="1" applyBorder="1" applyAlignment="1">
      <alignment horizontal="center"/>
    </xf>
    <xf numFmtId="165" fontId="6" fillId="2" borderId="2" xfId="0" applyNumberFormat="1" applyFont="1" applyFill="1" applyBorder="1"/>
    <xf numFmtId="165" fontId="6" fillId="2" borderId="2" xfId="1" applyNumberFormat="1" applyFont="1" applyFill="1" applyBorder="1"/>
    <xf numFmtId="165" fontId="6" fillId="2" borderId="7" xfId="1" applyNumberFormat="1" applyFont="1" applyFill="1" applyBorder="1"/>
    <xf numFmtId="165" fontId="6" fillId="2" borderId="7" xfId="1" applyNumberFormat="1" applyFont="1" applyFill="1" applyBorder="1" applyAlignment="1">
      <alignment horizontal="center"/>
    </xf>
    <xf numFmtId="165" fontId="6" fillId="2" borderId="7" xfId="0" applyNumberFormat="1" applyFont="1" applyFill="1" applyBorder="1"/>
    <xf numFmtId="165" fontId="6" fillId="2" borderId="0" xfId="0" applyNumberFormat="1" applyFont="1" applyFill="1" applyBorder="1"/>
    <xf numFmtId="165" fontId="6" fillId="2" borderId="3" xfId="1" applyNumberFormat="1" applyFont="1" applyFill="1" applyBorder="1"/>
    <xf numFmtId="165" fontId="6" fillId="2" borderId="10" xfId="1" applyNumberFormat="1" applyFont="1" applyFill="1" applyBorder="1"/>
    <xf numFmtId="165" fontId="6" fillId="2" borderId="11" xfId="1" applyNumberFormat="1" applyFont="1" applyFill="1" applyBorder="1" applyAlignment="1">
      <alignment horizontal="left"/>
    </xf>
    <xf numFmtId="165" fontId="6" fillId="2" borderId="11" xfId="1" applyNumberFormat="1" applyFont="1" applyFill="1" applyBorder="1"/>
    <xf numFmtId="165" fontId="6" fillId="2" borderId="13" xfId="1" applyNumberFormat="1" applyFont="1" applyFill="1" applyBorder="1"/>
    <xf numFmtId="165" fontId="6" fillId="2" borderId="2" xfId="1" applyNumberFormat="1" applyFont="1" applyFill="1" applyBorder="1" applyAlignment="1">
      <alignment vertical="center" wrapText="1"/>
    </xf>
    <xf numFmtId="165" fontId="6" fillId="2" borderId="3" xfId="1" applyNumberFormat="1" applyFont="1" applyFill="1" applyBorder="1" applyAlignment="1">
      <alignment vertical="center" wrapText="1"/>
    </xf>
    <xf numFmtId="165" fontId="6" fillId="2" borderId="7" xfId="1" applyNumberFormat="1" applyFont="1" applyFill="1" applyBorder="1" applyAlignment="1">
      <alignment vertical="center" wrapText="1"/>
    </xf>
    <xf numFmtId="165" fontId="6" fillId="2" borderId="3" xfId="1" applyNumberFormat="1" applyFont="1" applyFill="1" applyBorder="1" applyAlignment="1">
      <alignment horizontal="center"/>
    </xf>
    <xf numFmtId="165" fontId="6" fillId="2" borderId="3" xfId="0" applyNumberFormat="1" applyFont="1" applyFill="1" applyBorder="1"/>
    <xf numFmtId="0" fontId="6" fillId="2" borderId="0" xfId="0" applyFont="1" applyFill="1" applyBorder="1" applyAlignment="1">
      <alignment horizontal="center" wrapText="1"/>
    </xf>
    <xf numFmtId="0" fontId="8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right"/>
    </xf>
    <xf numFmtId="165" fontId="8" fillId="2" borderId="0" xfId="1" applyNumberFormat="1" applyFont="1" applyFill="1" applyBorder="1"/>
    <xf numFmtId="0" fontId="3" fillId="2" borderId="0" xfId="0" applyFont="1" applyFill="1" applyBorder="1" applyAlignment="1"/>
    <xf numFmtId="0" fontId="7" fillId="2" borderId="1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165" fontId="20" fillId="2" borderId="0" xfId="1" applyNumberFormat="1" applyFont="1" applyFill="1"/>
    <xf numFmtId="165" fontId="21" fillId="2" borderId="0" xfId="1" applyNumberFormat="1" applyFont="1" applyFill="1" applyAlignment="1">
      <alignment horizontal="center"/>
    </xf>
    <xf numFmtId="165" fontId="20" fillId="2" borderId="12" xfId="1" applyNumberFormat="1" applyFont="1" applyFill="1" applyBorder="1"/>
    <xf numFmtId="165" fontId="21" fillId="2" borderId="0" xfId="1" applyNumberFormat="1" applyFont="1" applyFill="1"/>
    <xf numFmtId="165" fontId="21" fillId="2" borderId="12" xfId="1" applyNumberFormat="1" applyFont="1" applyFill="1" applyBorder="1"/>
    <xf numFmtId="165" fontId="21" fillId="2" borderId="0" xfId="1" applyNumberFormat="1" applyFont="1" applyFill="1" applyBorder="1"/>
    <xf numFmtId="165" fontId="20" fillId="2" borderId="0" xfId="1" applyNumberFormat="1" applyFont="1" applyFill="1" applyBorder="1"/>
    <xf numFmtId="0" fontId="20" fillId="2" borderId="0" xfId="0" applyFont="1" applyFill="1"/>
    <xf numFmtId="0" fontId="21" fillId="2" borderId="0" xfId="0" applyFont="1" applyFill="1" applyAlignment="1">
      <alignment horizontal="center"/>
    </xf>
    <xf numFmtId="0" fontId="21" fillId="2" borderId="0" xfId="0" applyFont="1" applyFill="1"/>
    <xf numFmtId="165" fontId="20" fillId="2" borderId="1" xfId="1" applyNumberFormat="1" applyFont="1" applyFill="1" applyBorder="1"/>
    <xf numFmtId="165" fontId="21" fillId="2" borderId="1" xfId="1" applyNumberFormat="1" applyFont="1" applyFill="1" applyBorder="1"/>
    <xf numFmtId="43" fontId="7" fillId="2" borderId="3" xfId="1" applyFont="1" applyFill="1" applyBorder="1"/>
    <xf numFmtId="43" fontId="6" fillId="2" borderId="3" xfId="1" applyFont="1" applyFill="1" applyBorder="1"/>
    <xf numFmtId="43" fontId="6" fillId="2" borderId="7" xfId="1" applyFont="1" applyFill="1" applyBorder="1"/>
    <xf numFmtId="9" fontId="17" fillId="2" borderId="0" xfId="2" applyFont="1" applyFill="1"/>
    <xf numFmtId="43" fontId="5" fillId="2" borderId="0" xfId="1" applyFont="1" applyFill="1" applyBorder="1"/>
    <xf numFmtId="43" fontId="5" fillId="2" borderId="0" xfId="1" applyFont="1" applyFill="1" applyBorder="1" applyAlignment="1">
      <alignment horizontal="center" vertical="center"/>
    </xf>
    <xf numFmtId="43" fontId="3" fillId="2" borderId="0" xfId="1" applyFont="1" applyFill="1" applyBorder="1"/>
    <xf numFmtId="43" fontId="6" fillId="2" borderId="3" xfId="1" applyFont="1" applyFill="1" applyBorder="1" applyAlignment="1">
      <alignment horizontal="center" vertical="center" wrapText="1"/>
    </xf>
    <xf numFmtId="43" fontId="6" fillId="2" borderId="11" xfId="1" applyFont="1" applyFill="1" applyBorder="1" applyAlignment="1">
      <alignment horizontal="center" vertical="center" wrapText="1"/>
    </xf>
    <xf numFmtId="43" fontId="6" fillId="2" borderId="3" xfId="1" applyFont="1" applyFill="1" applyBorder="1" applyAlignment="1">
      <alignment horizontal="right"/>
    </xf>
    <xf numFmtId="43" fontId="6" fillId="2" borderId="7" xfId="1" applyFont="1" applyFill="1" applyBorder="1" applyAlignment="1">
      <alignment horizontal="right"/>
    </xf>
    <xf numFmtId="43" fontId="5" fillId="2" borderId="3" xfId="1" applyFont="1" applyFill="1" applyBorder="1" applyAlignment="1">
      <alignment horizontal="center" vertical="center"/>
    </xf>
    <xf numFmtId="43" fontId="5" fillId="2" borderId="3" xfId="1" applyFont="1" applyFill="1" applyBorder="1"/>
    <xf numFmtId="43" fontId="5" fillId="2" borderId="7" xfId="1" applyFont="1" applyFill="1" applyBorder="1"/>
    <xf numFmtId="165" fontId="5" fillId="2" borderId="0" xfId="1" applyNumberFormat="1" applyFont="1" applyFill="1" applyBorder="1" applyAlignment="1">
      <alignment horizontal="right"/>
    </xf>
    <xf numFmtId="165" fontId="6" fillId="2" borderId="11" xfId="1" applyNumberFormat="1" applyFont="1" applyFill="1" applyBorder="1" applyAlignment="1">
      <alignment horizontal="center" wrapText="1"/>
    </xf>
    <xf numFmtId="165" fontId="6" fillId="2" borderId="11" xfId="1" applyNumberFormat="1" applyFont="1" applyFill="1" applyBorder="1" applyAlignment="1">
      <alignment horizontal="right"/>
    </xf>
    <xf numFmtId="165" fontId="6" fillId="2" borderId="3" xfId="1" applyNumberFormat="1" applyFont="1" applyFill="1" applyBorder="1" applyAlignment="1">
      <alignment horizontal="right"/>
    </xf>
    <xf numFmtId="165" fontId="6" fillId="2" borderId="7" xfId="1" applyNumberFormat="1" applyFont="1" applyFill="1" applyBorder="1" applyAlignment="1">
      <alignment horizontal="right"/>
    </xf>
    <xf numFmtId="165" fontId="7" fillId="2" borderId="0" xfId="1" applyNumberFormat="1" applyFont="1" applyFill="1" applyBorder="1" applyAlignment="1">
      <alignment horizontal="right"/>
    </xf>
    <xf numFmtId="165" fontId="3" fillId="2" borderId="0" xfId="1" applyNumberFormat="1" applyFont="1" applyFill="1" applyBorder="1"/>
    <xf numFmtId="165" fontId="6" fillId="2" borderId="11" xfId="1" applyNumberFormat="1" applyFont="1" applyFill="1" applyBorder="1" applyAlignment="1">
      <alignment horizontal="center" vertical="center" wrapText="1"/>
    </xf>
    <xf numFmtId="165" fontId="3" fillId="2" borderId="0" xfId="1" applyNumberFormat="1" applyFont="1" applyFill="1" applyBorder="1" applyAlignment="1">
      <alignment horizontal="right"/>
    </xf>
    <xf numFmtId="0" fontId="8" fillId="2" borderId="0" xfId="0" applyFont="1" applyFill="1" applyBorder="1"/>
    <xf numFmtId="164" fontId="6" fillId="2" borderId="0" xfId="0" applyNumberFormat="1" applyFont="1" applyFill="1" applyBorder="1"/>
    <xf numFmtId="43" fontId="6" fillId="2" borderId="3" xfId="1" applyNumberFormat="1" applyFont="1" applyFill="1" applyBorder="1" applyAlignment="1">
      <alignment horizontal="center"/>
    </xf>
    <xf numFmtId="43" fontId="6" fillId="2" borderId="7" xfId="1" applyNumberFormat="1" applyFont="1" applyFill="1" applyBorder="1" applyAlignment="1">
      <alignment horizontal="center"/>
    </xf>
    <xf numFmtId="165" fontId="6" fillId="2" borderId="12" xfId="1" applyNumberFormat="1" applyFont="1" applyFill="1" applyBorder="1" applyAlignment="1">
      <alignment horizontal="center"/>
    </xf>
    <xf numFmtId="0" fontId="22" fillId="2" borderId="0" xfId="0" applyFont="1" applyFill="1"/>
    <xf numFmtId="0" fontId="22" fillId="2" borderId="0" xfId="0" applyFont="1" applyFill="1" applyAlignment="1">
      <alignment horizontal="center"/>
    </xf>
    <xf numFmtId="43" fontId="22" fillId="2" borderId="0" xfId="1" applyFont="1" applyFill="1" applyAlignment="1">
      <alignment horizontal="center"/>
    </xf>
    <xf numFmtId="43" fontId="22" fillId="2" borderId="0" xfId="1" applyFont="1" applyFill="1"/>
    <xf numFmtId="165" fontId="22" fillId="2" borderId="0" xfId="1" applyNumberFormat="1" applyFont="1" applyFill="1"/>
    <xf numFmtId="0" fontId="6" fillId="2" borderId="0" xfId="0" applyFont="1" applyFill="1" applyAlignment="1">
      <alignment horizontal="right"/>
    </xf>
    <xf numFmtId="165" fontId="6" fillId="2" borderId="10" xfId="1" applyNumberFormat="1" applyFont="1" applyFill="1" applyBorder="1" applyAlignment="1">
      <alignment horizontal="center" wrapText="1"/>
    </xf>
    <xf numFmtId="43" fontId="6" fillId="2" borderId="3" xfId="1" applyNumberFormat="1" applyFont="1" applyFill="1" applyBorder="1"/>
    <xf numFmtId="43" fontId="6" fillId="2" borderId="2" xfId="1" applyFont="1" applyFill="1" applyBorder="1" applyAlignment="1">
      <alignment horizontal="center" wrapText="1"/>
    </xf>
    <xf numFmtId="43" fontId="6" fillId="2" borderId="1" xfId="1" applyFont="1" applyFill="1" applyBorder="1"/>
    <xf numFmtId="43" fontId="6" fillId="2" borderId="7" xfId="1" applyNumberFormat="1" applyFont="1" applyFill="1" applyBorder="1"/>
    <xf numFmtId="43" fontId="6" fillId="2" borderId="2" xfId="1" applyFont="1" applyFill="1" applyBorder="1"/>
    <xf numFmtId="43" fontId="6" fillId="2" borderId="11" xfId="1" applyNumberFormat="1" applyFont="1" applyFill="1" applyBorder="1" applyAlignment="1">
      <alignment horizontal="center"/>
    </xf>
    <xf numFmtId="43" fontId="6" fillId="2" borderId="13" xfId="1" applyNumberFormat="1" applyFont="1" applyFill="1" applyBorder="1" applyAlignment="1">
      <alignment horizontal="center"/>
    </xf>
    <xf numFmtId="165" fontId="6" fillId="2" borderId="8" xfId="1" applyNumberFormat="1" applyFont="1" applyFill="1" applyBorder="1" applyAlignment="1">
      <alignment horizontal="center" wrapText="1"/>
    </xf>
    <xf numFmtId="43" fontId="6" fillId="2" borderId="14" xfId="1" applyNumberFormat="1" applyFont="1" applyFill="1" applyBorder="1"/>
    <xf numFmtId="43" fontId="6" fillId="2" borderId="15" xfId="1" applyNumberFormat="1" applyFont="1" applyFill="1" applyBorder="1"/>
    <xf numFmtId="43" fontId="6" fillId="2" borderId="0" xfId="1" applyFont="1" applyFill="1" applyBorder="1"/>
    <xf numFmtId="43" fontId="6" fillId="2" borderId="12" xfId="1" applyFont="1" applyFill="1" applyBorder="1"/>
    <xf numFmtId="9" fontId="6" fillId="2" borderId="0" xfId="2" applyFont="1" applyFill="1"/>
    <xf numFmtId="0" fontId="10" fillId="0" borderId="0" xfId="0" applyFont="1" applyFill="1"/>
    <xf numFmtId="43" fontId="4" fillId="2" borderId="0" xfId="1" applyFont="1" applyFill="1" applyBorder="1" applyAlignment="1">
      <alignment horizontal="center" wrapText="1"/>
    </xf>
    <xf numFmtId="43" fontId="5" fillId="2" borderId="0" xfId="1" applyFont="1" applyFill="1" applyBorder="1" applyAlignment="1">
      <alignment horizontal="center" wrapText="1"/>
    </xf>
    <xf numFmtId="165" fontId="4" fillId="2" borderId="4" xfId="1" applyNumberFormat="1" applyFont="1" applyFill="1" applyBorder="1" applyAlignment="1">
      <alignment wrapText="1"/>
    </xf>
    <xf numFmtId="165" fontId="4" fillId="2" borderId="6" xfId="1" applyNumberFormat="1" applyFont="1" applyFill="1" applyBorder="1" applyAlignment="1">
      <alignment wrapText="1"/>
    </xf>
    <xf numFmtId="165" fontId="6" fillId="2" borderId="4" xfId="1" applyNumberFormat="1" applyFont="1" applyFill="1" applyBorder="1" applyAlignment="1">
      <alignment horizontal="center"/>
    </xf>
    <xf numFmtId="43" fontId="6" fillId="2" borderId="7" xfId="1" applyFont="1" applyFill="1" applyBorder="1" applyAlignment="1">
      <alignment horizontal="center"/>
    </xf>
    <xf numFmtId="43" fontId="6" fillId="2" borderId="2" xfId="1" applyFont="1" applyFill="1" applyBorder="1" applyAlignment="1">
      <alignment horizontal="center"/>
    </xf>
    <xf numFmtId="43" fontId="6" fillId="2" borderId="3" xfId="1" applyFont="1" applyFill="1" applyBorder="1" applyAlignment="1">
      <alignment horizontal="center"/>
    </xf>
    <xf numFmtId="43" fontId="6" fillId="2" borderId="10" xfId="1" applyFont="1" applyFill="1" applyBorder="1" applyAlignment="1">
      <alignment horizontal="center"/>
    </xf>
    <xf numFmtId="43" fontId="6" fillId="2" borderId="11" xfId="1" applyFont="1" applyFill="1" applyBorder="1" applyAlignment="1">
      <alignment horizontal="center"/>
    </xf>
    <xf numFmtId="43" fontId="6" fillId="2" borderId="13" xfId="1" applyFont="1" applyFill="1" applyBorder="1" applyAlignment="1">
      <alignment horizontal="center"/>
    </xf>
    <xf numFmtId="43" fontId="6" fillId="2" borderId="10" xfId="1" applyFont="1" applyFill="1" applyBorder="1"/>
    <xf numFmtId="43" fontId="6" fillId="2" borderId="11" xfId="1" applyFont="1" applyFill="1" applyBorder="1"/>
    <xf numFmtId="43" fontId="6" fillId="2" borderId="13" xfId="1" applyFont="1" applyFill="1" applyBorder="1"/>
    <xf numFmtId="43" fontId="6" fillId="2" borderId="8" xfId="1" applyFont="1" applyFill="1" applyBorder="1"/>
    <xf numFmtId="43" fontId="6" fillId="2" borderId="14" xfId="1" applyFont="1" applyFill="1" applyBorder="1"/>
    <xf numFmtId="43" fontId="6" fillId="2" borderId="15" xfId="1" applyFont="1" applyFill="1" applyBorder="1"/>
    <xf numFmtId="43" fontId="7" fillId="2" borderId="0" xfId="1" applyFont="1" applyFill="1" applyAlignment="1">
      <alignment vertical="top" wrapText="1"/>
    </xf>
    <xf numFmtId="43" fontId="6" fillId="2" borderId="7" xfId="1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/>
    </xf>
    <xf numFmtId="165" fontId="6" fillId="3" borderId="7" xfId="1" applyNumberFormat="1" applyFont="1" applyFill="1" applyBorder="1" applyAlignment="1">
      <alignment horizontal="center"/>
    </xf>
    <xf numFmtId="43" fontId="8" fillId="2" borderId="0" xfId="1" applyFont="1" applyFill="1" applyBorder="1"/>
    <xf numFmtId="0" fontId="6" fillId="7" borderId="0" xfId="0" applyFont="1" applyFill="1" applyBorder="1" applyAlignment="1">
      <alignment horizontal="center"/>
    </xf>
    <xf numFmtId="165" fontId="6" fillId="7" borderId="0" xfId="1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5" fontId="6" fillId="0" borderId="0" xfId="1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165" fontId="6" fillId="3" borderId="0" xfId="1" applyNumberFormat="1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43" fontId="11" fillId="2" borderId="2" xfId="1" applyFont="1" applyFill="1" applyBorder="1" applyAlignment="1">
      <alignment horizontal="center" wrapText="1"/>
    </xf>
    <xf numFmtId="43" fontId="5" fillId="2" borderId="2" xfId="1" applyFont="1" applyFill="1" applyBorder="1" applyAlignment="1">
      <alignment horizontal="center" wrapText="1"/>
    </xf>
    <xf numFmtId="168" fontId="6" fillId="2" borderId="0" xfId="2" applyNumberFormat="1" applyFont="1" applyFill="1"/>
    <xf numFmtId="43" fontId="7" fillId="2" borderId="0" xfId="1" applyFont="1" applyFill="1" applyBorder="1" applyAlignment="1">
      <alignment horizontal="center" wrapText="1"/>
    </xf>
    <xf numFmtId="165" fontId="22" fillId="2" borderId="0" xfId="1" applyNumberFormat="1" applyFont="1" applyFill="1" applyAlignment="1">
      <alignment horizontal="center"/>
    </xf>
    <xf numFmtId="43" fontId="7" fillId="2" borderId="0" xfId="1" applyFont="1" applyFill="1"/>
    <xf numFmtId="165" fontId="4" fillId="2" borderId="14" xfId="1" applyNumberFormat="1" applyFont="1" applyFill="1" applyBorder="1" applyAlignment="1">
      <alignment wrapText="1"/>
    </xf>
    <xf numFmtId="165" fontId="4" fillId="2" borderId="15" xfId="1" applyNumberFormat="1" applyFont="1" applyFill="1" applyBorder="1" applyAlignment="1">
      <alignment wrapText="1"/>
    </xf>
    <xf numFmtId="43" fontId="7" fillId="2" borderId="0" xfId="0" applyNumberFormat="1" applyFont="1" applyFill="1"/>
    <xf numFmtId="43" fontId="7" fillId="2" borderId="0" xfId="1" applyFont="1" applyFill="1" applyBorder="1" applyAlignment="1">
      <alignment horizontal="left"/>
    </xf>
    <xf numFmtId="43" fontId="7" fillId="2" borderId="0" xfId="1" applyFont="1" applyFill="1" applyAlignment="1">
      <alignment horizontal="center"/>
    </xf>
    <xf numFmtId="43" fontId="7" fillId="2" borderId="0" xfId="1" applyFont="1" applyFill="1" applyBorder="1"/>
    <xf numFmtId="43" fontId="7" fillId="2" borderId="5" xfId="1" applyFont="1" applyFill="1" applyBorder="1" applyAlignment="1">
      <alignment wrapText="1"/>
    </xf>
    <xf numFmtId="43" fontId="7" fillId="2" borderId="6" xfId="1" applyFont="1" applyFill="1" applyBorder="1" applyAlignment="1">
      <alignment wrapText="1"/>
    </xf>
    <xf numFmtId="0" fontId="6" fillId="2" borderId="11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43" fontId="6" fillId="2" borderId="10" xfId="1" applyFont="1" applyFill="1" applyBorder="1" applyAlignment="1">
      <alignment horizontal="center" wrapText="1"/>
    </xf>
    <xf numFmtId="43" fontId="7" fillId="2" borderId="9" xfId="1" applyFont="1" applyFill="1" applyBorder="1" applyAlignment="1">
      <alignment horizontal="center" wrapText="1"/>
    </xf>
    <xf numFmtId="43" fontId="7" fillId="2" borderId="8" xfId="1" applyFont="1" applyFill="1" applyBorder="1" applyAlignment="1">
      <alignment horizontal="center" wrapText="1"/>
    </xf>
    <xf numFmtId="43" fontId="7" fillId="2" borderId="2" xfId="1" applyFont="1" applyFill="1" applyBorder="1" applyAlignment="1">
      <alignment horizontal="center" wrapText="1"/>
    </xf>
    <xf numFmtId="165" fontId="6" fillId="2" borderId="6" xfId="1" applyNumberFormat="1" applyFont="1" applyFill="1" applyBorder="1"/>
    <xf numFmtId="43" fontId="18" fillId="2" borderId="0" xfId="1" applyFont="1" applyFill="1" applyBorder="1"/>
    <xf numFmtId="0" fontId="6" fillId="2" borderId="0" xfId="0" applyFont="1" applyFill="1" applyAlignment="1">
      <alignment horizontal="left"/>
    </xf>
    <xf numFmtId="0" fontId="7" fillId="2" borderId="1" xfId="0" applyFont="1" applyFill="1" applyBorder="1" applyAlignment="1">
      <alignment horizontal="center" wrapText="1"/>
    </xf>
    <xf numFmtId="165" fontId="6" fillId="2" borderId="0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wrapText="1"/>
    </xf>
    <xf numFmtId="0" fontId="18" fillId="2" borderId="2" xfId="0" applyFont="1" applyFill="1" applyBorder="1"/>
    <xf numFmtId="43" fontId="18" fillId="2" borderId="2" xfId="1" applyFont="1" applyFill="1" applyBorder="1" applyAlignment="1">
      <alignment horizontal="right"/>
    </xf>
    <xf numFmtId="0" fontId="20" fillId="2" borderId="0" xfId="0" applyFont="1" applyFill="1" applyBorder="1"/>
    <xf numFmtId="9" fontId="18" fillId="2" borderId="0" xfId="1" applyNumberFormat="1" applyFont="1" applyFill="1" applyBorder="1" applyAlignment="1">
      <alignment horizontal="right"/>
    </xf>
    <xf numFmtId="0" fontId="6" fillId="2" borderId="3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165" fontId="7" fillId="2" borderId="2" xfId="1" applyNumberFormat="1" applyFont="1" applyFill="1" applyBorder="1" applyAlignment="1">
      <alignment horizontal="center" wrapText="1"/>
    </xf>
    <xf numFmtId="165" fontId="7" fillId="2" borderId="10" xfId="1" applyNumberFormat="1" applyFont="1" applyFill="1" applyBorder="1" applyAlignment="1">
      <alignment horizontal="center" wrapText="1"/>
    </xf>
    <xf numFmtId="9" fontId="6" fillId="2" borderId="8" xfId="0" applyNumberFormat="1" applyFont="1" applyFill="1" applyBorder="1" applyAlignment="1">
      <alignment horizontal="center" wrapText="1"/>
    </xf>
    <xf numFmtId="165" fontId="6" fillId="2" borderId="14" xfId="0" applyNumberFormat="1" applyFont="1" applyFill="1" applyBorder="1" applyAlignment="1">
      <alignment horizontal="center"/>
    </xf>
    <xf numFmtId="165" fontId="6" fillId="2" borderId="15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vertical="center" wrapText="1"/>
    </xf>
    <xf numFmtId="43" fontId="7" fillId="2" borderId="0" xfId="1" applyFont="1" applyFill="1" applyAlignment="1">
      <alignment horizontal="left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3" fontId="6" fillId="2" borderId="3" xfId="1" applyFont="1" applyFill="1" applyBorder="1" applyAlignment="1">
      <alignment horizontal="center" wrapText="1"/>
    </xf>
    <xf numFmtId="43" fontId="7" fillId="2" borderId="0" xfId="1" applyFont="1" applyFill="1" applyBorder="1" applyAlignment="1">
      <alignment horizontal="center"/>
    </xf>
    <xf numFmtId="0" fontId="6" fillId="2" borderId="3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43" fontId="6" fillId="6" borderId="0" xfId="1" applyFont="1" applyFill="1" applyBorder="1"/>
    <xf numFmtId="43" fontId="6" fillId="6" borderId="0" xfId="1" applyFont="1" applyFill="1"/>
    <xf numFmtId="0" fontId="6" fillId="6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wrapText="1"/>
    </xf>
    <xf numFmtId="165" fontId="6" fillId="6" borderId="2" xfId="1" applyNumberFormat="1" applyFont="1" applyFill="1" applyBorder="1"/>
    <xf numFmtId="43" fontId="6" fillId="6" borderId="2" xfId="1" applyFont="1" applyFill="1" applyBorder="1"/>
    <xf numFmtId="43" fontId="6" fillId="6" borderId="2" xfId="1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 wrapText="1"/>
    </xf>
    <xf numFmtId="165" fontId="6" fillId="6" borderId="0" xfId="1" applyNumberFormat="1" applyFont="1" applyFill="1" applyBorder="1"/>
    <xf numFmtId="0" fontId="6" fillId="6" borderId="3" xfId="0" applyFont="1" applyFill="1" applyBorder="1" applyAlignment="1">
      <alignment horizontal="center" vertical="center" wrapText="1"/>
    </xf>
    <xf numFmtId="43" fontId="6" fillId="6" borderId="3" xfId="1" applyFont="1" applyFill="1" applyBorder="1"/>
    <xf numFmtId="0" fontId="0" fillId="2" borderId="0" xfId="0" applyFill="1"/>
    <xf numFmtId="165" fontId="5" fillId="2" borderId="0" xfId="1" applyNumberFormat="1" applyFont="1" applyFill="1" applyBorder="1"/>
    <xf numFmtId="43" fontId="0" fillId="2" borderId="0" xfId="0" applyNumberFormat="1" applyFill="1"/>
    <xf numFmtId="165" fontId="0" fillId="2" borderId="0" xfId="1" applyNumberFormat="1" applyFont="1" applyFill="1"/>
    <xf numFmtId="0" fontId="17" fillId="2" borderId="1" xfId="0" applyFont="1" applyFill="1" applyBorder="1" applyAlignment="1">
      <alignment horizontal="center"/>
    </xf>
    <xf numFmtId="43" fontId="6" fillId="2" borderId="2" xfId="1" applyFont="1" applyFill="1" applyBorder="1" applyAlignment="1">
      <alignment horizontal="center" wrapText="1"/>
    </xf>
    <xf numFmtId="43" fontId="6" fillId="2" borderId="3" xfId="1" applyFont="1" applyFill="1" applyBorder="1" applyAlignment="1">
      <alignment horizontal="center" wrapText="1"/>
    </xf>
    <xf numFmtId="43" fontId="6" fillId="2" borderId="7" xfId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66" fontId="6" fillId="2" borderId="2" xfId="0" applyNumberFormat="1" applyFont="1" applyFill="1" applyBorder="1" applyAlignment="1">
      <alignment horizontal="center" vertical="center" wrapText="1"/>
    </xf>
    <xf numFmtId="166" fontId="6" fillId="2" borderId="3" xfId="0" applyNumberFormat="1" applyFont="1" applyFill="1" applyBorder="1" applyAlignment="1">
      <alignment horizontal="center" vertical="center" wrapText="1"/>
    </xf>
    <xf numFmtId="166" fontId="6" fillId="2" borderId="7" xfId="0" applyNumberFormat="1" applyFont="1" applyFill="1" applyBorder="1" applyAlignment="1">
      <alignment horizontal="center" vertical="center" wrapText="1"/>
    </xf>
    <xf numFmtId="166" fontId="7" fillId="2" borderId="0" xfId="1" applyNumberFormat="1" applyFont="1" applyFill="1" applyBorder="1" applyAlignment="1"/>
    <xf numFmtId="165" fontId="6" fillId="2" borderId="2" xfId="1" applyNumberFormat="1" applyFont="1" applyFill="1" applyBorder="1" applyAlignment="1">
      <alignment horizontal="center" vertical="center" wrapText="1"/>
    </xf>
    <xf numFmtId="165" fontId="6" fillId="2" borderId="3" xfId="1" applyNumberFormat="1" applyFont="1" applyFill="1" applyBorder="1" applyAlignment="1">
      <alignment horizontal="center" vertical="center" wrapText="1"/>
    </xf>
    <xf numFmtId="165" fontId="6" fillId="2" borderId="7" xfId="1" applyNumberFormat="1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6" fontId="6" fillId="2" borderId="1" xfId="1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/>
    </xf>
    <xf numFmtId="165" fontId="3" fillId="2" borderId="6" xfId="1" applyNumberFormat="1" applyFont="1" applyFill="1" applyBorder="1" applyAlignment="1">
      <alignment horizontal="center"/>
    </xf>
    <xf numFmtId="165" fontId="2" fillId="2" borderId="4" xfId="1" applyNumberFormat="1" applyFont="1" applyFill="1" applyBorder="1" applyAlignment="1">
      <alignment horizontal="center"/>
    </xf>
    <xf numFmtId="165" fontId="2" fillId="2" borderId="8" xfId="1" applyNumberFormat="1" applyFont="1" applyFill="1" applyBorder="1" applyAlignment="1">
      <alignment horizontal="center"/>
    </xf>
    <xf numFmtId="165" fontId="3" fillId="2" borderId="4" xfId="1" applyNumberFormat="1" applyFont="1" applyFill="1" applyBorder="1" applyAlignment="1">
      <alignment horizontal="center" vertical="center" wrapText="1"/>
    </xf>
    <xf numFmtId="165" fontId="3" fillId="2" borderId="6" xfId="1" applyNumberFormat="1" applyFont="1" applyFill="1" applyBorder="1" applyAlignment="1">
      <alignment horizontal="center" vertical="center" wrapText="1"/>
    </xf>
    <xf numFmtId="165" fontId="3" fillId="2" borderId="2" xfId="1" applyNumberFormat="1" applyFont="1" applyFill="1" applyBorder="1" applyAlignment="1">
      <alignment horizontal="center" vertical="center" wrapText="1"/>
    </xf>
    <xf numFmtId="165" fontId="3" fillId="2" borderId="7" xfId="1" applyNumberFormat="1" applyFont="1" applyFill="1" applyBorder="1" applyAlignment="1">
      <alignment horizontal="center" vertical="center" wrapText="1"/>
    </xf>
    <xf numFmtId="43" fontId="3" fillId="2" borderId="2" xfId="1" applyFont="1" applyFill="1" applyBorder="1" applyAlignment="1">
      <alignment horizontal="center" vertical="center" wrapText="1"/>
    </xf>
    <xf numFmtId="43" fontId="3" fillId="2" borderId="7" xfId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 vertical="center" wrapText="1"/>
    </xf>
    <xf numFmtId="165" fontId="7" fillId="2" borderId="1" xfId="1" applyNumberFormat="1" applyFont="1" applyFill="1" applyBorder="1" applyAlignment="1">
      <alignment horizontal="center" wrapText="1"/>
    </xf>
    <xf numFmtId="165" fontId="7" fillId="2" borderId="2" xfId="1" applyNumberFormat="1" applyFont="1" applyFill="1" applyBorder="1" applyAlignment="1">
      <alignment horizontal="center" wrapText="1"/>
    </xf>
    <xf numFmtId="43" fontId="6" fillId="2" borderId="1" xfId="1" applyFont="1" applyFill="1" applyBorder="1" applyAlignment="1">
      <alignment horizontal="center" wrapText="1"/>
    </xf>
    <xf numFmtId="43" fontId="7" fillId="2" borderId="2" xfId="1" applyFont="1" applyFill="1" applyBorder="1" applyAlignment="1">
      <alignment horizontal="center" wrapText="1"/>
    </xf>
    <xf numFmtId="43" fontId="7" fillId="2" borderId="3" xfId="1" applyFont="1" applyFill="1" applyBorder="1" applyAlignment="1">
      <alignment horizontal="center" wrapText="1"/>
    </xf>
    <xf numFmtId="9" fontId="7" fillId="2" borderId="2" xfId="1" applyNumberFormat="1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43" fontId="5" fillId="2" borderId="2" xfId="1" applyFont="1" applyFill="1" applyBorder="1" applyAlignment="1">
      <alignment horizontal="center" wrapText="1"/>
    </xf>
    <xf numFmtId="43" fontId="5" fillId="2" borderId="3" xfId="1" applyFont="1" applyFill="1" applyBorder="1" applyAlignment="1">
      <alignment horizontal="center" wrapText="1"/>
    </xf>
    <xf numFmtId="43" fontId="5" fillId="2" borderId="7" xfId="1" applyFont="1" applyFill="1" applyBorder="1" applyAlignment="1">
      <alignment horizontal="center" wrapText="1"/>
    </xf>
    <xf numFmtId="0" fontId="7" fillId="2" borderId="0" xfId="0" applyFont="1" applyFill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165" fontId="7" fillId="2" borderId="1" xfId="1" applyNumberFormat="1" applyFont="1" applyFill="1" applyBorder="1" applyAlignment="1">
      <alignment horizontal="center" vertical="center" wrapText="1"/>
    </xf>
    <xf numFmtId="165" fontId="7" fillId="2" borderId="2" xfId="1" applyNumberFormat="1" applyFont="1" applyFill="1" applyBorder="1" applyAlignment="1">
      <alignment horizontal="center" vertical="center" wrapText="1"/>
    </xf>
    <xf numFmtId="165" fontId="6" fillId="2" borderId="2" xfId="1" applyNumberFormat="1" applyFont="1" applyFill="1" applyBorder="1" applyAlignment="1">
      <alignment horizontal="center" wrapText="1"/>
    </xf>
    <xf numFmtId="165" fontId="6" fillId="2" borderId="7" xfId="1" applyNumberFormat="1" applyFont="1" applyFill="1" applyBorder="1" applyAlignment="1">
      <alignment horizontal="center" wrapText="1"/>
    </xf>
    <xf numFmtId="165" fontId="6" fillId="2" borderId="3" xfId="1" applyNumberFormat="1" applyFont="1" applyFill="1" applyBorder="1" applyAlignment="1">
      <alignment horizontal="center" wrapText="1"/>
    </xf>
    <xf numFmtId="166" fontId="7" fillId="2" borderId="1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166" fontId="7" fillId="2" borderId="2" xfId="0" applyNumberFormat="1" applyFont="1" applyFill="1" applyBorder="1" applyAlignment="1">
      <alignment horizontal="center" vertical="center"/>
    </xf>
    <xf numFmtId="166" fontId="7" fillId="2" borderId="3" xfId="0" applyNumberFormat="1" applyFont="1" applyFill="1" applyBorder="1" applyAlignment="1">
      <alignment horizontal="center" vertical="center"/>
    </xf>
    <xf numFmtId="166" fontId="7" fillId="2" borderId="7" xfId="0" applyNumberFormat="1" applyFont="1" applyFill="1" applyBorder="1" applyAlignment="1">
      <alignment horizontal="center" vertical="center"/>
    </xf>
    <xf numFmtId="166" fontId="7" fillId="2" borderId="2" xfId="0" applyNumberFormat="1" applyFont="1" applyFill="1" applyBorder="1" applyAlignment="1">
      <alignment horizontal="center" vertical="center" wrapText="1"/>
    </xf>
    <xf numFmtId="166" fontId="7" fillId="2" borderId="3" xfId="0" applyNumberFormat="1" applyFont="1" applyFill="1" applyBorder="1" applyAlignment="1">
      <alignment horizontal="center" vertical="center" wrapText="1"/>
    </xf>
    <xf numFmtId="166" fontId="7" fillId="2" borderId="7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top" wrapText="1"/>
    </xf>
    <xf numFmtId="43" fontId="5" fillId="2" borderId="1" xfId="1" applyFont="1" applyFill="1" applyBorder="1" applyAlignment="1">
      <alignment horizontal="center" wrapText="1"/>
    </xf>
    <xf numFmtId="43" fontId="7" fillId="2" borderId="1" xfId="1" applyFont="1" applyFill="1" applyBorder="1" applyAlignment="1">
      <alignment horizontal="center" wrapText="1"/>
    </xf>
    <xf numFmtId="0" fontId="9" fillId="2" borderId="0" xfId="0" applyFont="1" applyFill="1" applyAlignment="1">
      <alignment horizontal="left" vertical="top" wrapText="1"/>
    </xf>
    <xf numFmtId="43" fontId="7" fillId="2" borderId="1" xfId="1" applyFont="1" applyFill="1" applyBorder="1" applyAlignment="1">
      <alignment horizontal="center" vertical="center" wrapText="1"/>
    </xf>
    <xf numFmtId="43" fontId="7" fillId="2" borderId="2" xfId="1" applyFont="1" applyFill="1" applyBorder="1" applyAlignment="1">
      <alignment horizontal="center" vertical="center" wrapText="1"/>
    </xf>
    <xf numFmtId="43" fontId="11" fillId="2" borderId="2" xfId="1" applyFont="1" applyFill="1" applyBorder="1" applyAlignment="1">
      <alignment horizontal="center" wrapText="1"/>
    </xf>
    <xf numFmtId="43" fontId="11" fillId="2" borderId="3" xfId="1" applyFont="1" applyFill="1" applyBorder="1" applyAlignment="1">
      <alignment horizontal="center" wrapText="1"/>
    </xf>
    <xf numFmtId="0" fontId="6" fillId="2" borderId="0" xfId="0" applyFont="1" applyFill="1" applyAlignment="1">
      <alignment horizontal="left" vertical="top" wrapText="1"/>
    </xf>
    <xf numFmtId="165" fontId="4" fillId="2" borderId="1" xfId="1" applyNumberFormat="1" applyFont="1" applyFill="1" applyBorder="1" applyAlignment="1">
      <alignment horizontal="center" wrapText="1"/>
    </xf>
    <xf numFmtId="165" fontId="7" fillId="2" borderId="4" xfId="1" applyNumberFormat="1" applyFont="1" applyFill="1" applyBorder="1" applyAlignment="1">
      <alignment horizontal="center" wrapText="1"/>
    </xf>
    <xf numFmtId="165" fontId="7" fillId="2" borderId="6" xfId="1" applyNumberFormat="1" applyFont="1" applyFill="1" applyBorder="1" applyAlignment="1">
      <alignment horizontal="center" wrapText="1"/>
    </xf>
    <xf numFmtId="0" fontId="6" fillId="2" borderId="0" xfId="0" applyFont="1" applyFill="1" applyAlignment="1">
      <alignment horizontal="left" vertical="center" wrapText="1"/>
    </xf>
    <xf numFmtId="43" fontId="7" fillId="2" borderId="7" xfId="1" applyFont="1" applyFill="1" applyBorder="1" applyAlignment="1">
      <alignment horizontal="center" wrapText="1"/>
    </xf>
    <xf numFmtId="43" fontId="7" fillId="2" borderId="4" xfId="1" applyFont="1" applyFill="1" applyBorder="1" applyAlignment="1">
      <alignment horizontal="center" wrapText="1"/>
    </xf>
    <xf numFmtId="43" fontId="7" fillId="2" borderId="6" xfId="1" applyFont="1" applyFill="1" applyBorder="1" applyAlignment="1">
      <alignment horizontal="center" wrapText="1"/>
    </xf>
    <xf numFmtId="0" fontId="7" fillId="2" borderId="0" xfId="0" applyFont="1" applyFill="1" applyAlignment="1">
      <alignment horizontal="left" wrapText="1"/>
    </xf>
    <xf numFmtId="0" fontId="7" fillId="2" borderId="2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165" fontId="7" fillId="2" borderId="3" xfId="1" applyNumberFormat="1" applyFont="1" applyFill="1" applyBorder="1" applyAlignment="1">
      <alignment horizontal="center" wrapText="1"/>
    </xf>
    <xf numFmtId="165" fontId="7" fillId="2" borderId="7" xfId="1" applyNumberFormat="1" applyFont="1" applyFill="1" applyBorder="1" applyAlignment="1">
      <alignment horizontal="center" wrapText="1"/>
    </xf>
    <xf numFmtId="9" fontId="6" fillId="2" borderId="2" xfId="0" applyNumberFormat="1" applyFont="1" applyFill="1" applyBorder="1" applyAlignment="1">
      <alignment horizontal="center" wrapText="1"/>
    </xf>
    <xf numFmtId="9" fontId="6" fillId="2" borderId="7" xfId="0" applyNumberFormat="1" applyFont="1" applyFill="1" applyBorder="1" applyAlignment="1">
      <alignment horizontal="center" wrapText="1"/>
    </xf>
    <xf numFmtId="43" fontId="12" fillId="2" borderId="2" xfId="1" applyFont="1" applyFill="1" applyBorder="1" applyAlignment="1">
      <alignment horizontal="center" wrapText="1"/>
    </xf>
    <xf numFmtId="43" fontId="12" fillId="2" borderId="3" xfId="1" applyFont="1" applyFill="1" applyBorder="1" applyAlignment="1">
      <alignment horizontal="center" wrapText="1"/>
    </xf>
    <xf numFmtId="43" fontId="12" fillId="2" borderId="7" xfId="1" applyFont="1" applyFill="1" applyBorder="1" applyAlignment="1">
      <alignment horizontal="center" wrapText="1"/>
    </xf>
    <xf numFmtId="165" fontId="14" fillId="2" borderId="4" xfId="1" applyNumberFormat="1" applyFont="1" applyFill="1" applyBorder="1" applyAlignment="1">
      <alignment horizontal="center" wrapText="1"/>
    </xf>
    <xf numFmtId="165" fontId="14" fillId="2" borderId="6" xfId="1" applyNumberFormat="1" applyFont="1" applyFill="1" applyBorder="1" applyAlignment="1">
      <alignment horizontal="center" wrapText="1"/>
    </xf>
    <xf numFmtId="43" fontId="14" fillId="2" borderId="2" xfId="1" applyFont="1" applyFill="1" applyBorder="1" applyAlignment="1">
      <alignment horizontal="center" wrapText="1"/>
    </xf>
    <xf numFmtId="43" fontId="14" fillId="2" borderId="3" xfId="1" applyFont="1" applyFill="1" applyBorder="1" applyAlignment="1">
      <alignment horizontal="center" wrapText="1"/>
    </xf>
    <xf numFmtId="43" fontId="14" fillId="2" borderId="7" xfId="1" applyFont="1" applyFill="1" applyBorder="1" applyAlignment="1">
      <alignment horizontal="center" wrapText="1"/>
    </xf>
    <xf numFmtId="165" fontId="14" fillId="2" borderId="2" xfId="1" applyNumberFormat="1" applyFont="1" applyFill="1" applyBorder="1" applyAlignment="1">
      <alignment horizontal="center" wrapText="1"/>
    </xf>
    <xf numFmtId="165" fontId="14" fillId="2" borderId="3" xfId="1" applyNumberFormat="1" applyFont="1" applyFill="1" applyBorder="1" applyAlignment="1">
      <alignment horizontal="center" wrapText="1"/>
    </xf>
    <xf numFmtId="165" fontId="14" fillId="2" borderId="7" xfId="1" applyNumberFormat="1" applyFont="1" applyFill="1" applyBorder="1" applyAlignment="1">
      <alignment horizontal="center" wrapText="1"/>
    </xf>
    <xf numFmtId="0" fontId="16" fillId="2" borderId="0" xfId="0" applyFont="1" applyFill="1" applyAlignment="1">
      <alignment horizontal="left" vertical="top" wrapText="1"/>
    </xf>
    <xf numFmtId="0" fontId="16" fillId="2" borderId="0" xfId="0" applyFont="1" applyFill="1" applyAlignment="1">
      <alignment horizontal="left" wrapText="1"/>
    </xf>
    <xf numFmtId="165" fontId="14" fillId="2" borderId="1" xfId="1" applyNumberFormat="1" applyFont="1" applyFill="1" applyBorder="1" applyAlignment="1">
      <alignment horizontal="center" wrapText="1"/>
    </xf>
    <xf numFmtId="165" fontId="13" fillId="2" borderId="1" xfId="1" applyNumberFormat="1" applyFont="1" applyFill="1" applyBorder="1" applyAlignment="1">
      <alignment horizontal="center" wrapText="1"/>
    </xf>
    <xf numFmtId="165" fontId="14" fillId="2" borderId="1" xfId="1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165" fontId="13" fillId="2" borderId="2" xfId="1" applyNumberFormat="1" applyFont="1" applyFill="1" applyBorder="1" applyAlignment="1">
      <alignment horizontal="center" wrapText="1"/>
    </xf>
    <xf numFmtId="165" fontId="13" fillId="2" borderId="3" xfId="1" applyNumberFormat="1" applyFont="1" applyFill="1" applyBorder="1" applyAlignment="1">
      <alignment horizontal="center" wrapText="1"/>
    </xf>
    <xf numFmtId="165" fontId="13" fillId="2" borderId="7" xfId="1" applyNumberFormat="1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LCI%20FINANCE/2012%20STRAT%20PLAN/Reachland/Tawang%20Projec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mankat/Downloads/CY%20Pricelist%20as%20of%20%20Sept%20%202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mankat/Downloads/NC%20Pricelist%20as%20of%20August%20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ject Data"/>
      <sheetName val="Pricing"/>
      <sheetName val="Invty."/>
      <sheetName val="P&amp;L"/>
      <sheetName val="Sales Mix"/>
      <sheetName val="Rev"/>
      <sheetName val="CF"/>
      <sheetName val="Sheet1"/>
    </sheetNames>
    <sheetDataSet>
      <sheetData sheetId="0" refreshError="1"/>
      <sheetData sheetId="1" refreshError="1">
        <row r="5">
          <cell r="E5">
            <v>1200</v>
          </cell>
        </row>
        <row r="6">
          <cell r="E6">
            <v>1100</v>
          </cell>
        </row>
        <row r="7">
          <cell r="E7">
            <v>1000</v>
          </cell>
        </row>
        <row r="8">
          <cell r="E8">
            <v>900</v>
          </cell>
        </row>
        <row r="10">
          <cell r="E10">
            <v>1150</v>
          </cell>
        </row>
        <row r="13">
          <cell r="E13">
            <v>850</v>
          </cell>
        </row>
        <row r="15">
          <cell r="E15">
            <v>1150</v>
          </cell>
        </row>
        <row r="16">
          <cell r="E16">
            <v>1050</v>
          </cell>
        </row>
        <row r="17">
          <cell r="E17">
            <v>950</v>
          </cell>
        </row>
        <row r="18">
          <cell r="E18">
            <v>850</v>
          </cell>
        </row>
        <row r="20">
          <cell r="E20">
            <v>1100</v>
          </cell>
        </row>
        <row r="22">
          <cell r="E22">
            <v>900</v>
          </cell>
        </row>
        <row r="23">
          <cell r="E23">
            <v>800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lock1"/>
      <sheetName val="Block2"/>
      <sheetName val="Block3"/>
      <sheetName val="Price per sqm-FF"/>
      <sheetName val="Manors Rev-FF"/>
      <sheetName val="Lofts-Bare"/>
      <sheetName val="B1-Bare"/>
      <sheetName val="B2-Bare"/>
      <sheetName val="B3-Bare"/>
      <sheetName val="Manors Rev-bare"/>
      <sheetName val="NC1"/>
      <sheetName val="NC2"/>
      <sheetName val="NCMall"/>
      <sheetName val="NC4"/>
      <sheetName val="price per sqm"/>
      <sheetName val="NC5"/>
      <sheetName val="NC6"/>
      <sheetName val="Princeton"/>
      <sheetName val="SF"/>
      <sheetName val="Lubas"/>
      <sheetName val="Balacbac"/>
      <sheetName val="BRM Lots"/>
      <sheetName val="BRM House"/>
      <sheetName val="Summary"/>
      <sheetName val="Sheet2"/>
      <sheetName val="Block4"/>
      <sheetName val="Cabins"/>
      <sheetName val="Sheet1"/>
      <sheetName val="Sheet3"/>
      <sheetName val="Sheet4"/>
    </sheetNames>
    <sheetDataSet>
      <sheetData sheetId="0" refreshError="1"/>
      <sheetData sheetId="1" refreshError="1"/>
      <sheetData sheetId="2" refreshError="1"/>
      <sheetData sheetId="3">
        <row r="3">
          <cell r="E3">
            <v>60500</v>
          </cell>
          <cell r="F3">
            <v>59000</v>
          </cell>
        </row>
        <row r="4">
          <cell r="E4">
            <v>61500</v>
          </cell>
          <cell r="F4">
            <v>60000</v>
          </cell>
        </row>
        <row r="5">
          <cell r="E5">
            <v>62500</v>
          </cell>
          <cell r="F5">
            <v>61000</v>
          </cell>
        </row>
        <row r="6">
          <cell r="E6">
            <v>63500</v>
          </cell>
          <cell r="F6">
            <v>62000</v>
          </cell>
        </row>
        <row r="7">
          <cell r="B7">
            <v>69000</v>
          </cell>
          <cell r="D7">
            <v>66000</v>
          </cell>
          <cell r="E7">
            <v>64500</v>
          </cell>
          <cell r="F7">
            <v>63000</v>
          </cell>
        </row>
        <row r="8">
          <cell r="B8">
            <v>70000</v>
          </cell>
          <cell r="C8">
            <v>68500</v>
          </cell>
          <cell r="D8">
            <v>67000</v>
          </cell>
          <cell r="F8">
            <v>64000</v>
          </cell>
        </row>
        <row r="9">
          <cell r="B9">
            <v>71000</v>
          </cell>
          <cell r="C9">
            <v>69500</v>
          </cell>
          <cell r="D9">
            <v>68000</v>
          </cell>
          <cell r="F9">
            <v>65000</v>
          </cell>
        </row>
        <row r="10">
          <cell r="B10">
            <v>72000</v>
          </cell>
          <cell r="C10">
            <v>70500</v>
          </cell>
          <cell r="D10">
            <v>69000</v>
          </cell>
          <cell r="F10">
            <v>66000</v>
          </cell>
        </row>
        <row r="11">
          <cell r="B11">
            <v>73000</v>
          </cell>
          <cell r="C11">
            <v>71500</v>
          </cell>
          <cell r="D11">
            <v>70000</v>
          </cell>
          <cell r="F11">
            <v>67000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arvard"/>
      <sheetName val="Princeton"/>
      <sheetName val="NC Mall"/>
      <sheetName val="Sheet5"/>
      <sheetName val="Wharton-residential"/>
      <sheetName val="Princeton price"/>
      <sheetName val="Princeton Additional Units"/>
      <sheetName val="Princeton OPT2"/>
      <sheetName val="WHARTON"/>
      <sheetName val="Wharton price"/>
      <sheetName val="Wharto Opt.1"/>
      <sheetName val="Wharton Opt.2"/>
      <sheetName val="Wharton Opt.3"/>
      <sheetName val="Harvard20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A4">
            <v>79500</v>
          </cell>
          <cell r="E4">
            <v>79500</v>
          </cell>
          <cell r="H4">
            <v>79500</v>
          </cell>
          <cell r="L4">
            <v>80000</v>
          </cell>
        </row>
        <row r="5">
          <cell r="A5">
            <v>78500</v>
          </cell>
          <cell r="E5">
            <v>79000</v>
          </cell>
          <cell r="F5">
            <v>78500</v>
          </cell>
          <cell r="G5">
            <v>78500</v>
          </cell>
          <cell r="H5">
            <v>79000</v>
          </cell>
          <cell r="L5">
            <v>79000</v>
          </cell>
        </row>
        <row r="6">
          <cell r="A6">
            <v>78500</v>
          </cell>
          <cell r="L6">
            <v>79000</v>
          </cell>
        </row>
        <row r="7">
          <cell r="A7">
            <v>78500</v>
          </cell>
          <cell r="L7">
            <v>79000</v>
          </cell>
        </row>
        <row r="8">
          <cell r="A8">
            <v>78500</v>
          </cell>
          <cell r="L8">
            <v>80000</v>
          </cell>
        </row>
        <row r="9">
          <cell r="A9">
            <v>78500</v>
          </cell>
          <cell r="E9">
            <v>79500</v>
          </cell>
          <cell r="F9">
            <v>79000</v>
          </cell>
          <cell r="G9">
            <v>79000</v>
          </cell>
          <cell r="H9">
            <v>80000</v>
          </cell>
        </row>
        <row r="10">
          <cell r="A10">
            <v>78500</v>
          </cell>
          <cell r="E10">
            <v>79000</v>
          </cell>
        </row>
        <row r="11">
          <cell r="A11">
            <v>78500</v>
          </cell>
          <cell r="E11">
            <v>79000</v>
          </cell>
        </row>
        <row r="12">
          <cell r="A12">
            <v>79500</v>
          </cell>
          <cell r="E12">
            <v>80000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50"/>
  <sheetViews>
    <sheetView tabSelected="1" workbookViewId="0">
      <selection activeCell="J1" sqref="J1"/>
    </sheetView>
  </sheetViews>
  <sheetFormatPr defaultRowHeight="12.75"/>
  <cols>
    <col min="1" max="1" width="5.140625" style="159" customWidth="1"/>
    <col min="2" max="2" width="4.42578125" style="160" customWidth="1"/>
    <col min="3" max="3" width="36.85546875" style="160" customWidth="1"/>
    <col min="4" max="4" width="15.85546875" style="160" bestFit="1" customWidth="1"/>
    <col min="5" max="5" width="10.5703125" style="160" customWidth="1"/>
    <col min="6" max="6" width="23" style="161" bestFit="1" customWidth="1"/>
    <col min="7" max="7" width="3.85546875" style="160" customWidth="1"/>
    <col min="8" max="8" width="4.5703125" style="232" bestFit="1" customWidth="1"/>
    <col min="9" max="9" width="10.28515625" style="225" bestFit="1" customWidth="1"/>
    <col min="10" max="10" width="9.42578125" style="160" customWidth="1"/>
    <col min="11" max="11" width="7.42578125" style="160" customWidth="1"/>
    <col min="12" max="16384" width="9.140625" style="160"/>
  </cols>
  <sheetData>
    <row r="1" spans="2:9" s="160" customFormat="1">
      <c r="B1" s="159" t="s">
        <v>248</v>
      </c>
      <c r="F1" s="161"/>
      <c r="H1" s="232"/>
      <c r="I1" s="225"/>
    </row>
    <row r="2" spans="2:9" s="160" customFormat="1">
      <c r="B2" s="159" t="s">
        <v>249</v>
      </c>
      <c r="F2" s="161"/>
      <c r="H2" s="232"/>
      <c r="I2" s="225"/>
    </row>
    <row r="3" spans="2:9" s="160" customFormat="1">
      <c r="B3" s="159"/>
      <c r="F3" s="161"/>
      <c r="H3" s="232" t="s">
        <v>366</v>
      </c>
      <c r="I3" s="225"/>
    </row>
    <row r="4" spans="2:9" s="160" customFormat="1">
      <c r="B4" s="162" t="s">
        <v>250</v>
      </c>
      <c r="C4" s="163"/>
      <c r="D4" s="163"/>
      <c r="E4" s="163"/>
      <c r="F4" s="164"/>
      <c r="H4" s="232"/>
      <c r="I4" s="232"/>
    </row>
    <row r="5" spans="2:9" s="167" customFormat="1">
      <c r="B5" s="378" t="s">
        <v>251</v>
      </c>
      <c r="C5" s="378"/>
      <c r="D5" s="165" t="s">
        <v>252</v>
      </c>
      <c r="E5" s="165" t="s">
        <v>253</v>
      </c>
      <c r="F5" s="166" t="s">
        <v>254</v>
      </c>
      <c r="H5" s="232" t="s">
        <v>305</v>
      </c>
      <c r="I5" s="225">
        <v>1500000</v>
      </c>
    </row>
    <row r="6" spans="2:9" s="160" customFormat="1">
      <c r="B6" s="168" t="s">
        <v>255</v>
      </c>
      <c r="C6" s="168" t="s">
        <v>256</v>
      </c>
      <c r="D6" s="168" t="s">
        <v>257</v>
      </c>
      <c r="E6" s="168" t="s">
        <v>258</v>
      </c>
      <c r="F6" s="169" t="s">
        <v>259</v>
      </c>
      <c r="H6" s="232"/>
      <c r="I6" s="225">
        <f>I5*0.015</f>
        <v>22500</v>
      </c>
    </row>
    <row r="7" spans="2:9" s="160" customFormat="1">
      <c r="B7" s="168" t="s">
        <v>260</v>
      </c>
      <c r="C7" s="168" t="s">
        <v>261</v>
      </c>
      <c r="D7" s="168" t="s">
        <v>257</v>
      </c>
      <c r="E7" s="168" t="s">
        <v>262</v>
      </c>
      <c r="F7" s="169">
        <v>115</v>
      </c>
      <c r="H7" s="232"/>
      <c r="I7" s="225">
        <f>F7</f>
        <v>115</v>
      </c>
    </row>
    <row r="8" spans="2:9" s="160" customFormat="1">
      <c r="B8" s="168" t="s">
        <v>263</v>
      </c>
      <c r="C8" s="168" t="s">
        <v>264</v>
      </c>
      <c r="D8" s="168" t="s">
        <v>265</v>
      </c>
      <c r="E8" s="168" t="str">
        <f>E6</f>
        <v>Fixed %</v>
      </c>
      <c r="F8" s="169" t="s">
        <v>266</v>
      </c>
      <c r="H8" s="232"/>
      <c r="I8" s="225">
        <f>I5*0.0075</f>
        <v>11250</v>
      </c>
    </row>
    <row r="9" spans="2:9" s="160" customFormat="1">
      <c r="B9" s="168" t="s">
        <v>267</v>
      </c>
      <c r="C9" s="168" t="s">
        <v>268</v>
      </c>
      <c r="D9" s="168" t="s">
        <v>269</v>
      </c>
      <c r="E9" s="168" t="str">
        <f>E7</f>
        <v>Fixed Amt.</v>
      </c>
      <c r="F9" s="169">
        <v>12000</v>
      </c>
      <c r="H9" s="232"/>
      <c r="I9" s="225">
        <f>F9</f>
        <v>12000</v>
      </c>
    </row>
    <row r="10" spans="2:9" s="160" customFormat="1">
      <c r="B10" s="168" t="s">
        <v>270</v>
      </c>
      <c r="C10" s="168" t="s">
        <v>256</v>
      </c>
      <c r="D10" s="168" t="s">
        <v>269</v>
      </c>
      <c r="E10" s="168" t="str">
        <f>E9</f>
        <v>Fixed Amt.</v>
      </c>
      <c r="F10" s="169">
        <v>20</v>
      </c>
      <c r="G10" s="170"/>
      <c r="H10" s="232"/>
      <c r="I10" s="225">
        <f>F10</f>
        <v>20</v>
      </c>
    </row>
    <row r="11" spans="2:9" s="160" customFormat="1">
      <c r="B11" s="168" t="s">
        <v>271</v>
      </c>
      <c r="C11" s="168" t="s">
        <v>272</v>
      </c>
      <c r="D11" s="168"/>
      <c r="E11" s="168"/>
      <c r="F11" s="171" t="s">
        <v>273</v>
      </c>
      <c r="H11" s="232"/>
      <c r="I11" s="227">
        <f>I5*0.01</f>
        <v>15000</v>
      </c>
    </row>
    <row r="12" spans="2:9">
      <c r="I12" s="235">
        <f>SUM(I6:I11)</f>
        <v>60885</v>
      </c>
    </row>
    <row r="14" spans="2:9" s="160" customFormat="1">
      <c r="B14" s="159" t="s">
        <v>274</v>
      </c>
      <c r="F14" s="161"/>
      <c r="H14" s="232"/>
      <c r="I14" s="232"/>
    </row>
    <row r="15" spans="2:9" s="167" customFormat="1">
      <c r="B15" s="378" t="s">
        <v>251</v>
      </c>
      <c r="C15" s="378"/>
      <c r="D15" s="165" t="s">
        <v>252</v>
      </c>
      <c r="E15" s="165" t="s">
        <v>253</v>
      </c>
      <c r="F15" s="166" t="s">
        <v>254</v>
      </c>
      <c r="H15" s="232" t="s">
        <v>305</v>
      </c>
      <c r="I15" s="225">
        <v>2700000</v>
      </c>
    </row>
    <row r="16" spans="2:9" s="160" customFormat="1">
      <c r="B16" s="168" t="s">
        <v>275</v>
      </c>
      <c r="C16" s="168" t="s">
        <v>256</v>
      </c>
      <c r="D16" s="168" t="s">
        <v>257</v>
      </c>
      <c r="E16" s="168" t="s">
        <v>258</v>
      </c>
      <c r="F16" s="169" t="s">
        <v>259</v>
      </c>
      <c r="H16" s="232"/>
      <c r="I16" s="225">
        <f>I15*0.015</f>
        <v>40500</v>
      </c>
    </row>
    <row r="17" spans="2:9" s="160" customFormat="1">
      <c r="B17" s="168" t="s">
        <v>276</v>
      </c>
      <c r="C17" s="168" t="s">
        <v>261</v>
      </c>
      <c r="D17" s="168" t="s">
        <v>257</v>
      </c>
      <c r="E17" s="168" t="s">
        <v>262</v>
      </c>
      <c r="F17" s="169">
        <v>115</v>
      </c>
      <c r="H17" s="232"/>
      <c r="I17" s="225">
        <f>F17</f>
        <v>115</v>
      </c>
    </row>
    <row r="18" spans="2:9" s="160" customFormat="1">
      <c r="B18" s="168" t="s">
        <v>277</v>
      </c>
      <c r="C18" s="168" t="s">
        <v>264</v>
      </c>
      <c r="D18" s="168" t="s">
        <v>265</v>
      </c>
      <c r="E18" s="168" t="str">
        <f>E16</f>
        <v>Fixed %</v>
      </c>
      <c r="F18" s="169" t="s">
        <v>266</v>
      </c>
      <c r="H18" s="232"/>
      <c r="I18" s="225">
        <f>I15*0.0075</f>
        <v>20250</v>
      </c>
    </row>
    <row r="19" spans="2:9" s="160" customFormat="1">
      <c r="B19" s="168" t="s">
        <v>278</v>
      </c>
      <c r="C19" s="168" t="s">
        <v>268</v>
      </c>
      <c r="D19" s="168" t="s">
        <v>269</v>
      </c>
      <c r="E19" s="168" t="str">
        <f>E17</f>
        <v>Fixed Amt.</v>
      </c>
      <c r="F19" s="169">
        <v>12000</v>
      </c>
      <c r="H19" s="232"/>
      <c r="I19" s="225">
        <f>F19</f>
        <v>12000</v>
      </c>
    </row>
    <row r="20" spans="2:9" s="160" customFormat="1">
      <c r="B20" s="168" t="s">
        <v>279</v>
      </c>
      <c r="C20" s="168" t="s">
        <v>256</v>
      </c>
      <c r="D20" s="168" t="s">
        <v>269</v>
      </c>
      <c r="E20" s="168" t="str">
        <f>E19</f>
        <v>Fixed Amt.</v>
      </c>
      <c r="F20" s="169">
        <v>20</v>
      </c>
      <c r="H20" s="232"/>
      <c r="I20" s="225">
        <f>F20</f>
        <v>20</v>
      </c>
    </row>
    <row r="21" spans="2:9" s="160" customFormat="1">
      <c r="B21" s="168" t="s">
        <v>280</v>
      </c>
      <c r="C21" s="168" t="s">
        <v>272</v>
      </c>
      <c r="D21" s="168"/>
      <c r="E21" s="168"/>
      <c r="F21" s="171" t="s">
        <v>273</v>
      </c>
      <c r="H21" s="232"/>
      <c r="I21" s="227">
        <f>I15*0.01</f>
        <v>27000</v>
      </c>
    </row>
    <row r="22" spans="2:9" s="160" customFormat="1">
      <c r="B22" s="168" t="s">
        <v>281</v>
      </c>
      <c r="C22" s="168"/>
      <c r="D22" s="168"/>
      <c r="E22" s="168"/>
      <c r="F22" s="169"/>
      <c r="H22" s="232"/>
      <c r="I22" s="235">
        <f>SUM(I16:I21)</f>
        <v>99885</v>
      </c>
    </row>
    <row r="24" spans="2:9" s="160" customFormat="1">
      <c r="B24" s="172" t="s">
        <v>282</v>
      </c>
      <c r="F24" s="161"/>
      <c r="H24" s="232"/>
      <c r="I24" s="225"/>
    </row>
    <row r="25" spans="2:9" s="160" customFormat="1">
      <c r="B25" s="159"/>
      <c r="F25" s="161"/>
      <c r="H25" s="232"/>
      <c r="I25" s="225"/>
    </row>
    <row r="26" spans="2:9" s="160" customFormat="1">
      <c r="B26" s="159" t="s">
        <v>283</v>
      </c>
      <c r="F26" s="161"/>
      <c r="H26" s="233"/>
      <c r="I26" s="226"/>
    </row>
    <row r="27" spans="2:9" s="167" customFormat="1">
      <c r="B27" s="378" t="s">
        <v>251</v>
      </c>
      <c r="C27" s="378"/>
      <c r="D27" s="165" t="s">
        <v>252</v>
      </c>
      <c r="E27" s="165" t="s">
        <v>253</v>
      </c>
      <c r="F27" s="166" t="s">
        <v>254</v>
      </c>
      <c r="H27" s="232" t="s">
        <v>305</v>
      </c>
      <c r="I27" s="225">
        <v>800000</v>
      </c>
    </row>
    <row r="28" spans="2:9" s="160" customFormat="1">
      <c r="B28" s="168" t="s">
        <v>275</v>
      </c>
      <c r="C28" s="168" t="s">
        <v>256</v>
      </c>
      <c r="D28" s="168" t="s">
        <v>257</v>
      </c>
      <c r="E28" s="168" t="s">
        <v>258</v>
      </c>
      <c r="F28" s="169" t="s">
        <v>259</v>
      </c>
      <c r="H28" s="232"/>
      <c r="I28" s="225">
        <f>I27*0.015</f>
        <v>12000</v>
      </c>
    </row>
    <row r="29" spans="2:9" s="160" customFormat="1">
      <c r="B29" s="168" t="s">
        <v>276</v>
      </c>
      <c r="C29" s="168" t="s">
        <v>261</v>
      </c>
      <c r="D29" s="168" t="s">
        <v>257</v>
      </c>
      <c r="E29" s="168" t="s">
        <v>262</v>
      </c>
      <c r="F29" s="169">
        <v>115</v>
      </c>
      <c r="H29" s="232"/>
      <c r="I29" s="225">
        <f>F29</f>
        <v>115</v>
      </c>
    </row>
    <row r="30" spans="2:9" s="160" customFormat="1">
      <c r="B30" s="168" t="s">
        <v>277</v>
      </c>
      <c r="C30" s="168" t="s">
        <v>264</v>
      </c>
      <c r="D30" s="168" t="s">
        <v>265</v>
      </c>
      <c r="E30" s="168" t="str">
        <f>E28</f>
        <v>Fixed %</v>
      </c>
      <c r="F30" s="169" t="s">
        <v>284</v>
      </c>
      <c r="H30" s="232"/>
      <c r="I30" s="225">
        <f>I27*0.005</f>
        <v>4000</v>
      </c>
    </row>
    <row r="31" spans="2:9" s="160" customFormat="1">
      <c r="B31" s="168" t="s">
        <v>278</v>
      </c>
      <c r="C31" s="168" t="s">
        <v>268</v>
      </c>
      <c r="D31" s="168" t="s">
        <v>269</v>
      </c>
      <c r="E31" s="168" t="str">
        <f>E29</f>
        <v>Fixed Amt.</v>
      </c>
      <c r="F31" s="169">
        <v>12000</v>
      </c>
      <c r="H31" s="232"/>
      <c r="I31" s="225">
        <f>F31</f>
        <v>12000</v>
      </c>
    </row>
    <row r="32" spans="2:9" s="160" customFormat="1">
      <c r="B32" s="168" t="s">
        <v>279</v>
      </c>
      <c r="C32" s="168" t="s">
        <v>256</v>
      </c>
      <c r="D32" s="168" t="s">
        <v>269</v>
      </c>
      <c r="E32" s="168" t="str">
        <f>E31</f>
        <v>Fixed Amt.</v>
      </c>
      <c r="F32" s="169">
        <v>20</v>
      </c>
      <c r="H32" s="232"/>
      <c r="I32" s="225">
        <f>F32</f>
        <v>20</v>
      </c>
    </row>
    <row r="33" spans="2:10" s="160" customFormat="1">
      <c r="B33" s="168" t="s">
        <v>280</v>
      </c>
      <c r="C33" s="168" t="s">
        <v>285</v>
      </c>
      <c r="D33" s="168" t="s">
        <v>265</v>
      </c>
      <c r="E33" s="168" t="s">
        <v>262</v>
      </c>
      <c r="F33" s="169">
        <v>200</v>
      </c>
      <c r="H33" s="232"/>
      <c r="I33" s="225">
        <f>F33</f>
        <v>200</v>
      </c>
    </row>
    <row r="34" spans="2:10" s="160" customFormat="1">
      <c r="B34" s="168" t="s">
        <v>281</v>
      </c>
      <c r="C34" s="168" t="s">
        <v>272</v>
      </c>
      <c r="D34" s="168"/>
      <c r="E34" s="168"/>
      <c r="F34" s="171" t="s">
        <v>273</v>
      </c>
      <c r="H34" s="234"/>
      <c r="I34" s="229">
        <f>I27*0.01</f>
        <v>8000</v>
      </c>
    </row>
    <row r="35" spans="2:10" s="159" customFormat="1">
      <c r="B35" s="160"/>
      <c r="C35" s="160"/>
      <c r="D35" s="160"/>
      <c r="E35" s="160"/>
      <c r="F35" s="161"/>
      <c r="H35" s="232"/>
      <c r="I35" s="235">
        <f>SUM(I28:I34)</f>
        <v>36335</v>
      </c>
      <c r="J35" s="240">
        <f>I35/I27</f>
        <v>4.5418750000000001E-2</v>
      </c>
    </row>
    <row r="36" spans="2:10" s="160" customFormat="1">
      <c r="B36" s="159" t="s">
        <v>286</v>
      </c>
      <c r="F36" s="161"/>
      <c r="H36" s="233"/>
      <c r="I36" s="226"/>
    </row>
    <row r="37" spans="2:10" s="167" customFormat="1">
      <c r="B37" s="378" t="s">
        <v>251</v>
      </c>
      <c r="C37" s="378"/>
      <c r="D37" s="165" t="s">
        <v>252</v>
      </c>
      <c r="E37" s="165" t="s">
        <v>253</v>
      </c>
      <c r="F37" s="166" t="s">
        <v>254</v>
      </c>
      <c r="H37" s="232" t="s">
        <v>305</v>
      </c>
      <c r="I37" s="225">
        <v>1000000</v>
      </c>
    </row>
    <row r="38" spans="2:10" s="160" customFormat="1">
      <c r="B38" s="168" t="s">
        <v>275</v>
      </c>
      <c r="C38" s="168" t="s">
        <v>256</v>
      </c>
      <c r="D38" s="168" t="s">
        <v>257</v>
      </c>
      <c r="E38" s="168" t="s">
        <v>258</v>
      </c>
      <c r="F38" s="169" t="s">
        <v>287</v>
      </c>
      <c r="H38" s="232"/>
      <c r="I38" s="225">
        <f>I37*0.015</f>
        <v>15000</v>
      </c>
    </row>
    <row r="39" spans="2:10" s="160" customFormat="1">
      <c r="B39" s="168" t="s">
        <v>276</v>
      </c>
      <c r="C39" s="168" t="s">
        <v>261</v>
      </c>
      <c r="D39" s="168" t="s">
        <v>257</v>
      </c>
      <c r="E39" s="168" t="s">
        <v>262</v>
      </c>
      <c r="F39" s="169">
        <v>115</v>
      </c>
      <c r="H39" s="232"/>
      <c r="I39" s="225">
        <f>F39</f>
        <v>115</v>
      </c>
    </row>
    <row r="40" spans="2:10" s="160" customFormat="1">
      <c r="B40" s="168" t="s">
        <v>277</v>
      </c>
      <c r="C40" s="168" t="s">
        <v>264</v>
      </c>
      <c r="D40" s="168" t="s">
        <v>265</v>
      </c>
      <c r="E40" s="168" t="str">
        <f>E38</f>
        <v>Fixed %</v>
      </c>
      <c r="F40" s="169" t="s">
        <v>288</v>
      </c>
      <c r="H40" s="232"/>
      <c r="I40" s="225">
        <f>I37*0.005</f>
        <v>5000</v>
      </c>
    </row>
    <row r="41" spans="2:10" s="160" customFormat="1">
      <c r="B41" s="168" t="s">
        <v>278</v>
      </c>
      <c r="C41" s="168" t="s">
        <v>268</v>
      </c>
      <c r="D41" s="168" t="s">
        <v>269</v>
      </c>
      <c r="E41" s="168" t="str">
        <f>E39</f>
        <v>Fixed Amt.</v>
      </c>
      <c r="F41" s="169">
        <v>12000</v>
      </c>
      <c r="H41" s="232"/>
      <c r="I41" s="225">
        <f>F41</f>
        <v>12000</v>
      </c>
    </row>
    <row r="42" spans="2:10" s="160" customFormat="1">
      <c r="B42" s="168" t="s">
        <v>279</v>
      </c>
      <c r="C42" s="168" t="s">
        <v>256</v>
      </c>
      <c r="D42" s="168" t="s">
        <v>269</v>
      </c>
      <c r="E42" s="168" t="str">
        <f>E41</f>
        <v>Fixed Amt.</v>
      </c>
      <c r="F42" s="169">
        <v>20</v>
      </c>
      <c r="H42" s="232"/>
      <c r="I42" s="225">
        <f>F42</f>
        <v>20</v>
      </c>
    </row>
    <row r="43" spans="2:10" s="160" customFormat="1">
      <c r="B43" s="168" t="s">
        <v>280</v>
      </c>
      <c r="C43" s="168" t="s">
        <v>285</v>
      </c>
      <c r="D43" s="168" t="s">
        <v>265</v>
      </c>
      <c r="E43" s="168" t="s">
        <v>262</v>
      </c>
      <c r="F43" s="169">
        <v>200</v>
      </c>
      <c r="H43" s="232"/>
      <c r="I43" s="225">
        <f>F43</f>
        <v>200</v>
      </c>
    </row>
    <row r="44" spans="2:10" s="160" customFormat="1">
      <c r="B44" s="168" t="s">
        <v>281</v>
      </c>
      <c r="C44" s="168" t="s">
        <v>272</v>
      </c>
      <c r="D44" s="168"/>
      <c r="E44" s="168"/>
      <c r="F44" s="171" t="s">
        <v>289</v>
      </c>
      <c r="H44" s="234"/>
      <c r="I44" s="230">
        <f>I37*0.01</f>
        <v>10000</v>
      </c>
    </row>
    <row r="45" spans="2:10" s="159" customFormat="1">
      <c r="B45" s="168" t="s">
        <v>290</v>
      </c>
      <c r="C45" s="168" t="s">
        <v>291</v>
      </c>
      <c r="D45" s="168"/>
      <c r="E45" s="168" t="s">
        <v>292</v>
      </c>
      <c r="F45" s="169">
        <v>15100</v>
      </c>
      <c r="H45" s="232"/>
      <c r="I45" s="231">
        <f>F45</f>
        <v>15100</v>
      </c>
    </row>
    <row r="46" spans="2:10" s="159" customFormat="1">
      <c r="B46" s="168" t="s">
        <v>293</v>
      </c>
      <c r="C46" s="168" t="s">
        <v>294</v>
      </c>
      <c r="D46" s="168"/>
      <c r="E46" s="168"/>
      <c r="F46" s="169">
        <v>9600</v>
      </c>
      <c r="H46" s="234"/>
      <c r="I46" s="229">
        <f>F46</f>
        <v>9600</v>
      </c>
    </row>
    <row r="47" spans="2:10" s="159" customFormat="1">
      <c r="B47" s="160"/>
      <c r="C47" s="160"/>
      <c r="D47" s="160"/>
      <c r="E47" s="160"/>
      <c r="F47" s="161"/>
      <c r="H47" s="234"/>
      <c r="I47" s="236">
        <f>SUM(I38:I46)</f>
        <v>67035</v>
      </c>
    </row>
    <row r="48" spans="2:10" s="159" customFormat="1">
      <c r="B48" s="160"/>
      <c r="C48" s="160"/>
      <c r="D48" s="160"/>
      <c r="E48" s="160"/>
      <c r="F48" s="161"/>
      <c r="H48" s="234"/>
      <c r="I48" s="228"/>
    </row>
    <row r="49" spans="2:9" s="159" customFormat="1">
      <c r="B49" s="160"/>
      <c r="C49" s="160"/>
      <c r="D49" s="160"/>
      <c r="E49" s="160"/>
      <c r="F49" s="161"/>
      <c r="H49" s="234"/>
      <c r="I49" s="228"/>
    </row>
    <row r="50" spans="2:9" s="159" customFormat="1">
      <c r="B50" s="160"/>
      <c r="C50" s="160"/>
      <c r="D50" s="160"/>
      <c r="E50" s="160"/>
      <c r="F50" s="161"/>
      <c r="H50" s="232"/>
      <c r="I50" s="225"/>
    </row>
  </sheetData>
  <mergeCells count="4">
    <mergeCell ref="B5:C5"/>
    <mergeCell ref="B15:C15"/>
    <mergeCell ref="B27:C27"/>
    <mergeCell ref="B37:C3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 tint="-0.89999084444715716"/>
  </sheetPr>
  <dimension ref="A3:V78"/>
  <sheetViews>
    <sheetView zoomScale="90" zoomScaleNormal="90" workbookViewId="0">
      <selection activeCell="P29" sqref="P29"/>
    </sheetView>
  </sheetViews>
  <sheetFormatPr defaultRowHeight="12"/>
  <cols>
    <col min="1" max="1" width="10.140625" style="28" customWidth="1"/>
    <col min="2" max="2" width="8.5703125" style="28" bestFit="1" customWidth="1"/>
    <col min="3" max="3" width="6.5703125" style="28" hidden="1" customWidth="1"/>
    <col min="4" max="4" width="8.7109375" style="30" hidden="1" customWidth="1"/>
    <col min="5" max="7" width="8.5703125" style="30" hidden="1" customWidth="1"/>
    <col min="8" max="8" width="30.7109375" style="30" hidden="1" customWidth="1"/>
    <col min="9" max="9" width="13" style="93" customWidth="1"/>
    <col min="10" max="10" width="0.85546875" style="28" customWidth="1"/>
    <col min="11" max="11" width="8.140625" style="32" customWidth="1"/>
    <col min="12" max="12" width="1.140625" style="34" customWidth="1"/>
    <col min="13" max="13" width="11" style="93" customWidth="1"/>
    <col min="14" max="14" width="15.140625" style="93" customWidth="1"/>
    <col min="15" max="15" width="10.42578125" style="82" customWidth="1"/>
    <col min="16" max="16" width="10.7109375" style="82" customWidth="1"/>
    <col min="17" max="17" width="1.140625" style="82" customWidth="1"/>
    <col min="18" max="18" width="12.5703125" style="82" customWidth="1"/>
    <col min="19" max="19" width="1.42578125" style="82" customWidth="1"/>
    <col min="20" max="20" width="12.42578125" style="82" customWidth="1"/>
    <col min="21" max="21" width="11" style="28" bestFit="1" customWidth="1"/>
    <col min="22" max="16384" width="9.140625" style="28"/>
  </cols>
  <sheetData>
    <row r="3" spans="2:21" ht="12" customHeight="1">
      <c r="B3" s="464" t="s">
        <v>58</v>
      </c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87"/>
      <c r="O3" s="93"/>
      <c r="P3" s="93"/>
      <c r="S3" s="282"/>
      <c r="U3" s="33"/>
    </row>
    <row r="4" spans="2:21" ht="12" customHeight="1">
      <c r="B4" s="464" t="s">
        <v>170</v>
      </c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87"/>
      <c r="O4" s="93"/>
      <c r="P4" s="93"/>
      <c r="S4" s="282"/>
      <c r="U4" s="33"/>
    </row>
    <row r="5" spans="2:21" ht="12" customHeight="1">
      <c r="B5" s="437" t="s">
        <v>171</v>
      </c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303"/>
      <c r="O5" s="303"/>
      <c r="P5" s="93"/>
      <c r="S5" s="282"/>
      <c r="U5" s="33"/>
    </row>
    <row r="6" spans="2:21" ht="12" customHeight="1">
      <c r="B6" s="437" t="s">
        <v>247</v>
      </c>
      <c r="C6" s="437"/>
      <c r="D6" s="437"/>
      <c r="E6" s="437"/>
      <c r="F6" s="437"/>
      <c r="G6" s="437"/>
      <c r="H6" s="437"/>
      <c r="I6" s="437"/>
      <c r="J6" s="437"/>
      <c r="K6" s="437"/>
      <c r="L6" s="437"/>
      <c r="M6" s="437"/>
      <c r="N6" s="87"/>
      <c r="O6" s="93"/>
      <c r="P6" s="93"/>
      <c r="S6" s="282"/>
      <c r="U6" s="33"/>
    </row>
    <row r="7" spans="2:21">
      <c r="B7" s="437"/>
      <c r="C7" s="437"/>
      <c r="D7" s="437"/>
      <c r="E7" s="437"/>
      <c r="F7" s="437"/>
      <c r="G7" s="437"/>
      <c r="H7" s="437"/>
      <c r="I7" s="437"/>
      <c r="J7" s="437"/>
      <c r="K7" s="437"/>
    </row>
    <row r="8" spans="2:21" ht="12" customHeight="1">
      <c r="B8" s="438" t="s">
        <v>129</v>
      </c>
      <c r="C8" s="431" t="s">
        <v>130</v>
      </c>
      <c r="D8" s="454" t="s">
        <v>131</v>
      </c>
      <c r="E8" s="438" t="s">
        <v>132</v>
      </c>
      <c r="F8" s="438" t="s">
        <v>172</v>
      </c>
      <c r="G8" s="438" t="s">
        <v>173</v>
      </c>
      <c r="H8" s="438" t="s">
        <v>322</v>
      </c>
      <c r="I8" s="460" t="s">
        <v>135</v>
      </c>
      <c r="K8" s="441" t="s">
        <v>5</v>
      </c>
      <c r="L8" s="63"/>
      <c r="M8" s="458" t="s">
        <v>64</v>
      </c>
      <c r="N8" s="458"/>
      <c r="O8" s="458"/>
      <c r="P8" s="458"/>
      <c r="Q8" s="319"/>
      <c r="R8" s="427" t="s">
        <v>65</v>
      </c>
      <c r="S8" s="319"/>
      <c r="T8" s="427" t="s">
        <v>306</v>
      </c>
    </row>
    <row r="9" spans="2:21">
      <c r="B9" s="438"/>
      <c r="C9" s="432"/>
      <c r="D9" s="454"/>
      <c r="E9" s="438"/>
      <c r="F9" s="438"/>
      <c r="G9" s="438"/>
      <c r="H9" s="438"/>
      <c r="I9" s="460"/>
      <c r="K9" s="443"/>
      <c r="L9" s="63"/>
      <c r="M9" s="427" t="s">
        <v>67</v>
      </c>
      <c r="N9" s="44">
        <v>1</v>
      </c>
      <c r="O9" s="425">
        <v>2</v>
      </c>
      <c r="P9" s="425"/>
      <c r="Q9" s="319"/>
      <c r="R9" s="427"/>
      <c r="S9" s="319"/>
      <c r="T9" s="427"/>
    </row>
    <row r="10" spans="2:21" ht="12" customHeight="1">
      <c r="B10" s="438"/>
      <c r="C10" s="432"/>
      <c r="D10" s="454"/>
      <c r="E10" s="438"/>
      <c r="F10" s="438"/>
      <c r="G10" s="438"/>
      <c r="H10" s="438"/>
      <c r="I10" s="460"/>
      <c r="K10" s="443"/>
      <c r="L10" s="63"/>
      <c r="M10" s="427"/>
      <c r="N10" s="427" t="s">
        <v>323</v>
      </c>
      <c r="O10" s="462" t="s">
        <v>324</v>
      </c>
      <c r="P10" s="462" t="s">
        <v>159</v>
      </c>
      <c r="Q10" s="83"/>
      <c r="R10" s="379" t="s">
        <v>325</v>
      </c>
      <c r="S10" s="83"/>
      <c r="T10" s="427"/>
    </row>
    <row r="11" spans="2:21" s="45" customFormat="1" ht="35.25" customHeight="1">
      <c r="B11" s="431"/>
      <c r="C11" s="432"/>
      <c r="D11" s="455"/>
      <c r="E11" s="431"/>
      <c r="F11" s="431"/>
      <c r="G11" s="431"/>
      <c r="H11" s="431"/>
      <c r="I11" s="461"/>
      <c r="K11" s="443"/>
      <c r="L11" s="64"/>
      <c r="M11" s="379"/>
      <c r="N11" s="379"/>
      <c r="O11" s="463"/>
      <c r="P11" s="463"/>
      <c r="Q11" s="84"/>
      <c r="R11" s="380"/>
      <c r="S11" s="84"/>
      <c r="T11" s="379"/>
    </row>
    <row r="12" spans="2:21" s="45" customFormat="1" ht="16.5" customHeight="1">
      <c r="B12" s="151"/>
      <c r="C12" s="97"/>
      <c r="D12" s="97"/>
      <c r="E12" s="97"/>
      <c r="F12" s="97"/>
      <c r="G12" s="97"/>
      <c r="H12" s="97"/>
      <c r="I12" s="157"/>
      <c r="J12" s="260"/>
      <c r="K12" s="152"/>
      <c r="L12" s="64"/>
      <c r="M12" s="273"/>
      <c r="N12" s="273"/>
      <c r="O12" s="316"/>
      <c r="P12" s="316"/>
      <c r="Q12" s="307"/>
      <c r="R12" s="273"/>
      <c r="S12" s="307"/>
      <c r="T12" s="273"/>
    </row>
    <row r="13" spans="2:21" ht="12" customHeight="1">
      <c r="B13" s="224" t="s">
        <v>174</v>
      </c>
      <c r="C13" s="31" t="s">
        <v>137</v>
      </c>
      <c r="D13" s="31">
        <v>42</v>
      </c>
      <c r="E13" s="34">
        <f>'[2]Price per sqm-FF'!E3</f>
        <v>60500</v>
      </c>
      <c r="F13" s="34">
        <f t="shared" ref="F13:F44" si="0">E13*1.05</f>
        <v>63525</v>
      </c>
      <c r="G13" s="34">
        <f t="shared" ref="G13:G44" si="1">F13*1.01</f>
        <v>64160.25</v>
      </c>
      <c r="H13" s="34">
        <f>G13*1.03</f>
        <v>66085.057499999995</v>
      </c>
      <c r="I13" s="293">
        <f>H13*D13</f>
        <v>2775572.415</v>
      </c>
      <c r="J13" s="261"/>
      <c r="K13" s="213">
        <v>15000</v>
      </c>
      <c r="M13" s="293">
        <f t="shared" ref="M13:M44" si="2">I13*0.2-K13</f>
        <v>540114.48300000001</v>
      </c>
      <c r="N13" s="293">
        <f>M13/18</f>
        <v>30006.360166666665</v>
      </c>
      <c r="O13" s="238">
        <f>(I13*0.15-K13)/17</f>
        <v>23607.991897058822</v>
      </c>
      <c r="P13" s="238">
        <f>M13-(O13*17)</f>
        <v>138778.62075</v>
      </c>
      <c r="Q13" s="282"/>
      <c r="R13" s="238">
        <f>PMT(14%/12,180,-I13*0.8)+T13/180</f>
        <v>30139.318391905919</v>
      </c>
      <c r="S13" s="282"/>
      <c r="T13" s="238">
        <v>102341</v>
      </c>
      <c r="U13" s="318"/>
    </row>
    <row r="14" spans="2:21">
      <c r="B14" s="224" t="s">
        <v>175</v>
      </c>
      <c r="C14" s="31" t="s">
        <v>139</v>
      </c>
      <c r="D14" s="31">
        <v>42</v>
      </c>
      <c r="E14" s="34">
        <f>'[2]Price per sqm-FF'!F3</f>
        <v>59000</v>
      </c>
      <c r="F14" s="34">
        <f t="shared" si="0"/>
        <v>61950</v>
      </c>
      <c r="G14" s="34">
        <f t="shared" si="1"/>
        <v>62569.5</v>
      </c>
      <c r="H14" s="34">
        <f t="shared" ref="H14:H74" si="3">G14*1.03</f>
        <v>64446.584999999999</v>
      </c>
      <c r="I14" s="293">
        <f t="shared" ref="I14:I74" si="4">H14*D14</f>
        <v>2706756.57</v>
      </c>
      <c r="J14" s="62"/>
      <c r="K14" s="213">
        <v>15000</v>
      </c>
      <c r="M14" s="293">
        <f t="shared" si="2"/>
        <v>526351.31400000001</v>
      </c>
      <c r="N14" s="293">
        <f t="shared" ref="N14:N73" si="5">M14/18</f>
        <v>29241.739666666668</v>
      </c>
      <c r="O14" s="238">
        <f t="shared" ref="O14:O24" si="6">(I14*0.15-K14)/17</f>
        <v>23000.793264705881</v>
      </c>
      <c r="P14" s="238">
        <f t="shared" ref="P14:P24" si="7">M14-(O14*17)</f>
        <v>135337.82850000006</v>
      </c>
      <c r="Q14" s="282"/>
      <c r="R14" s="238">
        <f t="shared" ref="R14:R24" si="8">PMT(14%/12,180,-I14*0.8)+T14/180</f>
        <v>29393.736898259034</v>
      </c>
      <c r="S14" s="282"/>
      <c r="T14" s="238">
        <v>100105</v>
      </c>
      <c r="U14" s="318"/>
    </row>
    <row r="15" spans="2:21">
      <c r="B15" s="224" t="s">
        <v>176</v>
      </c>
      <c r="C15" s="31" t="s">
        <v>139</v>
      </c>
      <c r="D15" s="31">
        <v>42</v>
      </c>
      <c r="E15" s="34">
        <f>E14</f>
        <v>59000</v>
      </c>
      <c r="F15" s="34">
        <f t="shared" si="0"/>
        <v>61950</v>
      </c>
      <c r="G15" s="34">
        <f t="shared" si="1"/>
        <v>62569.5</v>
      </c>
      <c r="H15" s="34">
        <f t="shared" si="3"/>
        <v>64446.584999999999</v>
      </c>
      <c r="I15" s="293">
        <f t="shared" si="4"/>
        <v>2706756.57</v>
      </c>
      <c r="J15" s="62"/>
      <c r="K15" s="213">
        <v>15000</v>
      </c>
      <c r="M15" s="293">
        <f t="shared" si="2"/>
        <v>526351.31400000001</v>
      </c>
      <c r="N15" s="293">
        <f t="shared" si="5"/>
        <v>29241.739666666668</v>
      </c>
      <c r="O15" s="238">
        <f t="shared" si="6"/>
        <v>23000.793264705881</v>
      </c>
      <c r="P15" s="238">
        <f t="shared" si="7"/>
        <v>135337.82850000006</v>
      </c>
      <c r="Q15" s="282"/>
      <c r="R15" s="238">
        <f t="shared" si="8"/>
        <v>29393.736898259034</v>
      </c>
      <c r="S15" s="282"/>
      <c r="T15" s="238">
        <v>100105</v>
      </c>
      <c r="U15" s="318"/>
    </row>
    <row r="16" spans="2:21">
      <c r="B16" s="224" t="s">
        <v>177</v>
      </c>
      <c r="C16" s="31" t="s">
        <v>137</v>
      </c>
      <c r="D16" s="31">
        <v>42</v>
      </c>
      <c r="E16" s="34">
        <f>E13</f>
        <v>60500</v>
      </c>
      <c r="F16" s="34">
        <f t="shared" si="0"/>
        <v>63525</v>
      </c>
      <c r="G16" s="34">
        <f t="shared" si="1"/>
        <v>64160.25</v>
      </c>
      <c r="H16" s="34">
        <f t="shared" si="3"/>
        <v>66085.057499999995</v>
      </c>
      <c r="I16" s="293">
        <f t="shared" si="4"/>
        <v>2775572.415</v>
      </c>
      <c r="J16" s="62"/>
      <c r="K16" s="213">
        <v>15000</v>
      </c>
      <c r="M16" s="293">
        <f t="shared" si="2"/>
        <v>540114.48300000001</v>
      </c>
      <c r="N16" s="293">
        <f t="shared" si="5"/>
        <v>30006.360166666665</v>
      </c>
      <c r="O16" s="238">
        <f t="shared" si="6"/>
        <v>23607.991897058822</v>
      </c>
      <c r="P16" s="238">
        <f t="shared" si="7"/>
        <v>138778.62075</v>
      </c>
      <c r="Q16" s="282"/>
      <c r="R16" s="238">
        <f t="shared" si="8"/>
        <v>30139.318391905919</v>
      </c>
      <c r="S16" s="282"/>
      <c r="T16" s="238">
        <v>102341</v>
      </c>
      <c r="U16" s="318"/>
    </row>
    <row r="17" spans="2:21">
      <c r="B17" s="224" t="s">
        <v>178</v>
      </c>
      <c r="C17" s="31" t="s">
        <v>139</v>
      </c>
      <c r="D17" s="31">
        <v>42</v>
      </c>
      <c r="E17" s="34">
        <f>E15</f>
        <v>59000</v>
      </c>
      <c r="F17" s="34">
        <f t="shared" si="0"/>
        <v>61950</v>
      </c>
      <c r="G17" s="34">
        <f t="shared" si="1"/>
        <v>62569.5</v>
      </c>
      <c r="H17" s="34">
        <f t="shared" si="3"/>
        <v>64446.584999999999</v>
      </c>
      <c r="I17" s="293">
        <f t="shared" si="4"/>
        <v>2706756.57</v>
      </c>
      <c r="J17" s="62"/>
      <c r="K17" s="213">
        <v>15000</v>
      </c>
      <c r="M17" s="293">
        <f t="shared" si="2"/>
        <v>526351.31400000001</v>
      </c>
      <c r="N17" s="293">
        <f t="shared" si="5"/>
        <v>29241.739666666668</v>
      </c>
      <c r="O17" s="238">
        <f t="shared" si="6"/>
        <v>23000.793264705881</v>
      </c>
      <c r="P17" s="238">
        <f t="shared" si="7"/>
        <v>135337.82850000006</v>
      </c>
      <c r="Q17" s="282"/>
      <c r="R17" s="238">
        <f t="shared" si="8"/>
        <v>29393.736898259034</v>
      </c>
      <c r="S17" s="282"/>
      <c r="T17" s="238">
        <f>T15</f>
        <v>100105</v>
      </c>
      <c r="U17" s="318"/>
    </row>
    <row r="18" spans="2:21">
      <c r="B18" s="224" t="s">
        <v>179</v>
      </c>
      <c r="C18" s="31" t="s">
        <v>137</v>
      </c>
      <c r="D18" s="31">
        <v>42</v>
      </c>
      <c r="E18" s="34">
        <f>'[2]Price per sqm-FF'!E4</f>
        <v>61500</v>
      </c>
      <c r="F18" s="34">
        <f t="shared" si="0"/>
        <v>64575</v>
      </c>
      <c r="G18" s="34">
        <f t="shared" si="1"/>
        <v>65220.75</v>
      </c>
      <c r="H18" s="34">
        <f t="shared" si="3"/>
        <v>67177.372499999998</v>
      </c>
      <c r="I18" s="293">
        <f t="shared" si="4"/>
        <v>2821449.645</v>
      </c>
      <c r="J18" s="261"/>
      <c r="K18" s="213">
        <v>15000</v>
      </c>
      <c r="M18" s="293">
        <f t="shared" si="2"/>
        <v>549289.929</v>
      </c>
      <c r="N18" s="293">
        <f t="shared" si="5"/>
        <v>30516.107166666668</v>
      </c>
      <c r="O18" s="238">
        <f t="shared" si="6"/>
        <v>24012.790985294119</v>
      </c>
      <c r="P18" s="238">
        <f t="shared" si="7"/>
        <v>141072.48225</v>
      </c>
      <c r="Q18" s="282"/>
      <c r="R18" s="238">
        <f t="shared" si="8"/>
        <v>30636.374572855697</v>
      </c>
      <c r="S18" s="282"/>
      <c r="T18" s="238">
        <v>103832</v>
      </c>
      <c r="U18" s="318"/>
    </row>
    <row r="19" spans="2:21">
      <c r="B19" s="224" t="s">
        <v>180</v>
      </c>
      <c r="C19" s="31" t="s">
        <v>139</v>
      </c>
      <c r="D19" s="31">
        <v>42</v>
      </c>
      <c r="E19" s="34">
        <f>'[2]Price per sqm-FF'!F4</f>
        <v>60000</v>
      </c>
      <c r="F19" s="34">
        <f t="shared" si="0"/>
        <v>63000</v>
      </c>
      <c r="G19" s="34">
        <f t="shared" si="1"/>
        <v>63630</v>
      </c>
      <c r="H19" s="34">
        <f t="shared" si="3"/>
        <v>65538.900000000009</v>
      </c>
      <c r="I19" s="293">
        <f t="shared" si="4"/>
        <v>2752633.8000000003</v>
      </c>
      <c r="J19" s="62"/>
      <c r="K19" s="213">
        <v>15000</v>
      </c>
      <c r="M19" s="293">
        <f t="shared" si="2"/>
        <v>535526.76000000013</v>
      </c>
      <c r="N19" s="293">
        <f t="shared" si="5"/>
        <v>29751.486666666675</v>
      </c>
      <c r="O19" s="238">
        <f t="shared" si="6"/>
        <v>23405.592352941178</v>
      </c>
      <c r="P19" s="238">
        <f t="shared" si="7"/>
        <v>137631.69000000012</v>
      </c>
      <c r="Q19" s="282"/>
      <c r="R19" s="238">
        <f t="shared" si="8"/>
        <v>29890.793079208819</v>
      </c>
      <c r="S19" s="282"/>
      <c r="T19" s="238">
        <v>101596</v>
      </c>
      <c r="U19" s="318"/>
    </row>
    <row r="20" spans="2:21">
      <c r="B20" s="224" t="s">
        <v>181</v>
      </c>
      <c r="C20" s="31" t="s">
        <v>139</v>
      </c>
      <c r="D20" s="31">
        <v>42</v>
      </c>
      <c r="E20" s="34">
        <f>E19</f>
        <v>60000</v>
      </c>
      <c r="F20" s="34">
        <f t="shared" si="0"/>
        <v>63000</v>
      </c>
      <c r="G20" s="34">
        <f t="shared" si="1"/>
        <v>63630</v>
      </c>
      <c r="H20" s="34">
        <f t="shared" si="3"/>
        <v>65538.900000000009</v>
      </c>
      <c r="I20" s="293">
        <f t="shared" si="4"/>
        <v>2752633.8000000003</v>
      </c>
      <c r="J20" s="62"/>
      <c r="K20" s="213">
        <v>15000</v>
      </c>
      <c r="M20" s="293">
        <f t="shared" si="2"/>
        <v>535526.76000000013</v>
      </c>
      <c r="N20" s="293">
        <f t="shared" si="5"/>
        <v>29751.486666666675</v>
      </c>
      <c r="O20" s="238">
        <f t="shared" si="6"/>
        <v>23405.592352941178</v>
      </c>
      <c r="P20" s="238">
        <f t="shared" si="7"/>
        <v>137631.69000000012</v>
      </c>
      <c r="Q20" s="282"/>
      <c r="R20" s="238">
        <f t="shared" si="8"/>
        <v>29890.793079208819</v>
      </c>
      <c r="S20" s="282"/>
      <c r="T20" s="238">
        <v>101596</v>
      </c>
      <c r="U20" s="318"/>
    </row>
    <row r="21" spans="2:21">
      <c r="B21" s="224" t="s">
        <v>182</v>
      </c>
      <c r="C21" s="31" t="s">
        <v>137</v>
      </c>
      <c r="D21" s="31">
        <v>42</v>
      </c>
      <c r="E21" s="34">
        <f>E18</f>
        <v>61500</v>
      </c>
      <c r="F21" s="34">
        <f t="shared" si="0"/>
        <v>64575</v>
      </c>
      <c r="G21" s="34">
        <f t="shared" si="1"/>
        <v>65220.75</v>
      </c>
      <c r="H21" s="34">
        <f t="shared" si="3"/>
        <v>67177.372499999998</v>
      </c>
      <c r="I21" s="293">
        <f t="shared" si="4"/>
        <v>2821449.645</v>
      </c>
      <c r="J21" s="62"/>
      <c r="K21" s="213">
        <v>15000</v>
      </c>
      <c r="M21" s="293">
        <f t="shared" si="2"/>
        <v>549289.929</v>
      </c>
      <c r="N21" s="293">
        <f t="shared" si="5"/>
        <v>30516.107166666668</v>
      </c>
      <c r="O21" s="238">
        <f t="shared" si="6"/>
        <v>24012.790985294119</v>
      </c>
      <c r="P21" s="238">
        <f t="shared" si="7"/>
        <v>141072.48225</v>
      </c>
      <c r="Q21" s="282"/>
      <c r="R21" s="238">
        <f t="shared" si="8"/>
        <v>30636.374572855697</v>
      </c>
      <c r="S21" s="282"/>
      <c r="T21" s="238">
        <v>103832</v>
      </c>
      <c r="U21" s="318"/>
    </row>
    <row r="22" spans="2:21">
      <c r="B22" s="224" t="s">
        <v>183</v>
      </c>
      <c r="C22" s="31" t="s">
        <v>139</v>
      </c>
      <c r="D22" s="31">
        <v>42</v>
      </c>
      <c r="E22" s="34">
        <f>E20</f>
        <v>60000</v>
      </c>
      <c r="F22" s="34">
        <f t="shared" si="0"/>
        <v>63000</v>
      </c>
      <c r="G22" s="34">
        <f t="shared" si="1"/>
        <v>63630</v>
      </c>
      <c r="H22" s="34">
        <f t="shared" si="3"/>
        <v>65538.900000000009</v>
      </c>
      <c r="I22" s="293">
        <f t="shared" si="4"/>
        <v>2752633.8000000003</v>
      </c>
      <c r="J22" s="62"/>
      <c r="K22" s="213">
        <v>15000</v>
      </c>
      <c r="M22" s="293">
        <f t="shared" si="2"/>
        <v>535526.76000000013</v>
      </c>
      <c r="N22" s="293">
        <f t="shared" si="5"/>
        <v>29751.486666666675</v>
      </c>
      <c r="O22" s="238">
        <f t="shared" si="6"/>
        <v>23405.592352941178</v>
      </c>
      <c r="P22" s="238">
        <f t="shared" si="7"/>
        <v>137631.69000000012</v>
      </c>
      <c r="Q22" s="282"/>
      <c r="R22" s="238">
        <f t="shared" si="8"/>
        <v>29890.793079208819</v>
      </c>
      <c r="S22" s="282"/>
      <c r="T22" s="238">
        <f>T20</f>
        <v>101596</v>
      </c>
      <c r="U22" s="318"/>
    </row>
    <row r="23" spans="2:21" ht="12" customHeight="1">
      <c r="B23" s="224" t="s">
        <v>184</v>
      </c>
      <c r="C23" s="31" t="s">
        <v>137</v>
      </c>
      <c r="D23" s="31">
        <v>42</v>
      </c>
      <c r="E23" s="34">
        <f>'[2]Price per sqm-FF'!E5</f>
        <v>62500</v>
      </c>
      <c r="F23" s="34">
        <f t="shared" si="0"/>
        <v>65625</v>
      </c>
      <c r="G23" s="34">
        <f t="shared" si="1"/>
        <v>66281.25</v>
      </c>
      <c r="H23" s="34">
        <f t="shared" si="3"/>
        <v>68269.6875</v>
      </c>
      <c r="I23" s="293">
        <f t="shared" si="4"/>
        <v>2867326.875</v>
      </c>
      <c r="J23" s="62"/>
      <c r="K23" s="213">
        <v>15000</v>
      </c>
      <c r="M23" s="293">
        <f t="shared" si="2"/>
        <v>558465.375</v>
      </c>
      <c r="N23" s="293">
        <f t="shared" si="5"/>
        <v>31025.854166666668</v>
      </c>
      <c r="O23" s="238">
        <f t="shared" si="6"/>
        <v>24417.590073529413</v>
      </c>
      <c r="P23" s="238">
        <f t="shared" si="7"/>
        <v>143366.34375</v>
      </c>
      <c r="Q23" s="282"/>
      <c r="R23" s="238">
        <f t="shared" si="8"/>
        <v>31133.430753805471</v>
      </c>
      <c r="S23" s="282"/>
      <c r="T23" s="238">
        <v>105323</v>
      </c>
      <c r="U23" s="318"/>
    </row>
    <row r="24" spans="2:21">
      <c r="B24" s="224" t="s">
        <v>185</v>
      </c>
      <c r="C24" s="31" t="s">
        <v>139</v>
      </c>
      <c r="D24" s="31">
        <v>42</v>
      </c>
      <c r="E24" s="34">
        <f>'[2]Price per sqm-FF'!F5</f>
        <v>61000</v>
      </c>
      <c r="F24" s="34">
        <f t="shared" si="0"/>
        <v>64050</v>
      </c>
      <c r="G24" s="34">
        <f t="shared" si="1"/>
        <v>64690.5</v>
      </c>
      <c r="H24" s="34">
        <f t="shared" si="3"/>
        <v>66631.214999999997</v>
      </c>
      <c r="I24" s="293">
        <f t="shared" si="4"/>
        <v>2798511.03</v>
      </c>
      <c r="J24" s="62"/>
      <c r="K24" s="213">
        <v>15000</v>
      </c>
      <c r="M24" s="293">
        <f t="shared" si="2"/>
        <v>544702.20600000001</v>
      </c>
      <c r="N24" s="293">
        <f t="shared" si="5"/>
        <v>30261.233666666667</v>
      </c>
      <c r="O24" s="238">
        <f t="shared" si="6"/>
        <v>23810.391441176467</v>
      </c>
      <c r="P24" s="238">
        <f t="shared" si="7"/>
        <v>139925.55150000006</v>
      </c>
      <c r="Q24" s="282"/>
      <c r="R24" s="238">
        <f t="shared" si="8"/>
        <v>30387.849260158589</v>
      </c>
      <c r="S24" s="282"/>
      <c r="T24" s="238">
        <v>103087</v>
      </c>
      <c r="U24" s="318"/>
    </row>
    <row r="25" spans="2:21">
      <c r="B25" s="224" t="s">
        <v>186</v>
      </c>
      <c r="C25" s="31" t="s">
        <v>139</v>
      </c>
      <c r="D25" s="31">
        <v>42</v>
      </c>
      <c r="E25" s="34">
        <f>E24</f>
        <v>61000</v>
      </c>
      <c r="F25" s="34">
        <f t="shared" si="0"/>
        <v>64050</v>
      </c>
      <c r="G25" s="34">
        <f t="shared" si="1"/>
        <v>64690.5</v>
      </c>
      <c r="H25" s="34">
        <f t="shared" si="3"/>
        <v>66631.214999999997</v>
      </c>
      <c r="I25" s="293">
        <f t="shared" si="4"/>
        <v>2798511.03</v>
      </c>
      <c r="J25" s="62"/>
      <c r="K25" s="213">
        <v>15000</v>
      </c>
      <c r="M25" s="293">
        <f t="shared" si="2"/>
        <v>544702.20600000001</v>
      </c>
      <c r="N25" s="293">
        <f t="shared" si="5"/>
        <v>30261.233666666667</v>
      </c>
      <c r="O25" s="238">
        <f t="shared" ref="O25:O73" si="9">(I25*0.15-K25)/17</f>
        <v>23810.391441176467</v>
      </c>
      <c r="P25" s="238">
        <f t="shared" ref="P25:P73" si="10">M25-(O25*17)</f>
        <v>139925.55150000006</v>
      </c>
      <c r="Q25" s="282"/>
      <c r="R25" s="238">
        <f t="shared" ref="R25:R73" si="11">PMT(14%/12,180,-I25*0.8)+T25/180</f>
        <v>30387.849260158589</v>
      </c>
      <c r="S25" s="282"/>
      <c r="T25" s="238">
        <v>103087</v>
      </c>
      <c r="U25" s="318"/>
    </row>
    <row r="26" spans="2:21">
      <c r="B26" s="224" t="s">
        <v>187</v>
      </c>
      <c r="C26" s="31" t="s">
        <v>139</v>
      </c>
      <c r="D26" s="31">
        <v>42</v>
      </c>
      <c r="E26" s="34">
        <f>E25</f>
        <v>61000</v>
      </c>
      <c r="F26" s="34">
        <f t="shared" si="0"/>
        <v>64050</v>
      </c>
      <c r="G26" s="34">
        <f t="shared" si="1"/>
        <v>64690.5</v>
      </c>
      <c r="H26" s="34">
        <f t="shared" si="3"/>
        <v>66631.214999999997</v>
      </c>
      <c r="I26" s="293">
        <f t="shared" si="4"/>
        <v>2798511.03</v>
      </c>
      <c r="J26" s="62"/>
      <c r="K26" s="213">
        <v>15000</v>
      </c>
      <c r="M26" s="293">
        <f t="shared" si="2"/>
        <v>544702.20600000001</v>
      </c>
      <c r="N26" s="293">
        <f t="shared" si="5"/>
        <v>30261.233666666667</v>
      </c>
      <c r="O26" s="238">
        <f t="shared" si="9"/>
        <v>23810.391441176467</v>
      </c>
      <c r="P26" s="238">
        <f t="shared" si="10"/>
        <v>139925.55150000006</v>
      </c>
      <c r="Q26" s="282"/>
      <c r="R26" s="238">
        <f t="shared" si="11"/>
        <v>30387.849260158589</v>
      </c>
      <c r="S26" s="282"/>
      <c r="T26" s="238">
        <v>103087</v>
      </c>
      <c r="U26" s="318"/>
    </row>
    <row r="27" spans="2:21">
      <c r="B27" s="224" t="s">
        <v>188</v>
      </c>
      <c r="C27" s="31" t="s">
        <v>137</v>
      </c>
      <c r="D27" s="31">
        <v>42</v>
      </c>
      <c r="E27" s="34">
        <f>E23</f>
        <v>62500</v>
      </c>
      <c r="F27" s="34">
        <f t="shared" si="0"/>
        <v>65625</v>
      </c>
      <c r="G27" s="34">
        <f t="shared" si="1"/>
        <v>66281.25</v>
      </c>
      <c r="H27" s="34">
        <f t="shared" si="3"/>
        <v>68269.6875</v>
      </c>
      <c r="I27" s="293">
        <f t="shared" si="4"/>
        <v>2867326.875</v>
      </c>
      <c r="J27" s="62"/>
      <c r="K27" s="213">
        <v>15000</v>
      </c>
      <c r="M27" s="293">
        <f t="shared" si="2"/>
        <v>558465.375</v>
      </c>
      <c r="N27" s="293">
        <f t="shared" si="5"/>
        <v>31025.854166666668</v>
      </c>
      <c r="O27" s="238">
        <f t="shared" si="9"/>
        <v>24417.590073529413</v>
      </c>
      <c r="P27" s="238">
        <f t="shared" si="10"/>
        <v>143366.34375</v>
      </c>
      <c r="Q27" s="282"/>
      <c r="R27" s="238">
        <f t="shared" si="11"/>
        <v>31133.430753805471</v>
      </c>
      <c r="S27" s="282"/>
      <c r="T27" s="238">
        <f>T23</f>
        <v>105323</v>
      </c>
      <c r="U27" s="318"/>
    </row>
    <row r="28" spans="2:21">
      <c r="B28" s="224" t="s">
        <v>189</v>
      </c>
      <c r="C28" s="31" t="s">
        <v>139</v>
      </c>
      <c r="D28" s="31">
        <v>42</v>
      </c>
      <c r="E28" s="34">
        <f>E26</f>
        <v>61000</v>
      </c>
      <c r="F28" s="34">
        <f t="shared" si="0"/>
        <v>64050</v>
      </c>
      <c r="G28" s="34">
        <f t="shared" si="1"/>
        <v>64690.5</v>
      </c>
      <c r="H28" s="34">
        <f t="shared" si="3"/>
        <v>66631.214999999997</v>
      </c>
      <c r="I28" s="293">
        <f t="shared" si="4"/>
        <v>2798511.03</v>
      </c>
      <c r="J28" s="62"/>
      <c r="K28" s="213">
        <v>15000</v>
      </c>
      <c r="M28" s="293">
        <f t="shared" si="2"/>
        <v>544702.20600000001</v>
      </c>
      <c r="N28" s="293">
        <f t="shared" si="5"/>
        <v>30261.233666666667</v>
      </c>
      <c r="O28" s="238">
        <f t="shared" si="9"/>
        <v>23810.391441176467</v>
      </c>
      <c r="P28" s="238">
        <f t="shared" si="10"/>
        <v>139925.55150000006</v>
      </c>
      <c r="Q28" s="282"/>
      <c r="R28" s="238">
        <f t="shared" si="11"/>
        <v>30387.849260158589</v>
      </c>
      <c r="S28" s="282"/>
      <c r="T28" s="238">
        <f>T26</f>
        <v>103087</v>
      </c>
      <c r="U28" s="318"/>
    </row>
    <row r="29" spans="2:21">
      <c r="B29" s="224" t="s">
        <v>190</v>
      </c>
      <c r="C29" s="31" t="s">
        <v>139</v>
      </c>
      <c r="D29" s="31">
        <v>42</v>
      </c>
      <c r="E29" s="34">
        <f>E28</f>
        <v>61000</v>
      </c>
      <c r="F29" s="34">
        <f t="shared" si="0"/>
        <v>64050</v>
      </c>
      <c r="G29" s="34">
        <f t="shared" si="1"/>
        <v>64690.5</v>
      </c>
      <c r="H29" s="34">
        <f t="shared" si="3"/>
        <v>66631.214999999997</v>
      </c>
      <c r="I29" s="293">
        <f t="shared" si="4"/>
        <v>2798511.03</v>
      </c>
      <c r="J29" s="62"/>
      <c r="K29" s="213">
        <v>15000</v>
      </c>
      <c r="M29" s="293">
        <f t="shared" si="2"/>
        <v>544702.20600000001</v>
      </c>
      <c r="N29" s="293">
        <f t="shared" si="5"/>
        <v>30261.233666666667</v>
      </c>
      <c r="O29" s="238">
        <f t="shared" si="9"/>
        <v>23810.391441176467</v>
      </c>
      <c r="P29" s="238">
        <f t="shared" si="10"/>
        <v>139925.55150000006</v>
      </c>
      <c r="Q29" s="282"/>
      <c r="R29" s="238">
        <f t="shared" si="11"/>
        <v>30387.849260158589</v>
      </c>
      <c r="S29" s="282"/>
      <c r="T29" s="238">
        <f>T26</f>
        <v>103087</v>
      </c>
      <c r="U29" s="318"/>
    </row>
    <row r="30" spans="2:21" ht="12" customHeight="1">
      <c r="B30" s="224">
        <v>101</v>
      </c>
      <c r="C30" s="31" t="s">
        <v>137</v>
      </c>
      <c r="D30" s="31">
        <v>42</v>
      </c>
      <c r="E30" s="34">
        <f>'[2]Price per sqm-FF'!E6</f>
        <v>63500</v>
      </c>
      <c r="F30" s="34">
        <f t="shared" si="0"/>
        <v>66675</v>
      </c>
      <c r="G30" s="34">
        <f t="shared" si="1"/>
        <v>67341.75</v>
      </c>
      <c r="H30" s="34">
        <f t="shared" si="3"/>
        <v>69362.002500000002</v>
      </c>
      <c r="I30" s="293">
        <f t="shared" si="4"/>
        <v>2913204.105</v>
      </c>
      <c r="J30" s="261"/>
      <c r="K30" s="213">
        <v>15000</v>
      </c>
      <c r="M30" s="293">
        <f t="shared" si="2"/>
        <v>567640.821</v>
      </c>
      <c r="N30" s="293">
        <f t="shared" si="5"/>
        <v>31535.601166666667</v>
      </c>
      <c r="O30" s="238">
        <f t="shared" si="9"/>
        <v>24822.389161764706</v>
      </c>
      <c r="P30" s="238">
        <f t="shared" si="10"/>
        <v>145660.20525</v>
      </c>
      <c r="Q30" s="282"/>
      <c r="R30" s="238">
        <f t="shared" si="11"/>
        <v>31630.486934755252</v>
      </c>
      <c r="S30" s="282"/>
      <c r="T30" s="238">
        <v>106814</v>
      </c>
      <c r="U30" s="318"/>
    </row>
    <row r="31" spans="2:21">
      <c r="B31" s="224">
        <v>102</v>
      </c>
      <c r="C31" s="31" t="s">
        <v>139</v>
      </c>
      <c r="D31" s="31">
        <v>42</v>
      </c>
      <c r="E31" s="34">
        <f>'[2]Price per sqm-FF'!F6</f>
        <v>62000</v>
      </c>
      <c r="F31" s="34">
        <f t="shared" si="0"/>
        <v>65100</v>
      </c>
      <c r="G31" s="34">
        <f t="shared" si="1"/>
        <v>65751</v>
      </c>
      <c r="H31" s="34">
        <f t="shared" si="3"/>
        <v>67723.53</v>
      </c>
      <c r="I31" s="293">
        <f t="shared" si="4"/>
        <v>2844388.26</v>
      </c>
      <c r="J31" s="62"/>
      <c r="K31" s="213">
        <v>15000</v>
      </c>
      <c r="M31" s="293">
        <f t="shared" si="2"/>
        <v>553877.652</v>
      </c>
      <c r="N31" s="293">
        <f t="shared" si="5"/>
        <v>30770.980666666666</v>
      </c>
      <c r="O31" s="238">
        <f t="shared" si="9"/>
        <v>24215.190529411761</v>
      </c>
      <c r="P31" s="238">
        <f t="shared" si="10"/>
        <v>142219.41300000006</v>
      </c>
      <c r="Q31" s="282"/>
      <c r="R31" s="238">
        <f t="shared" si="11"/>
        <v>30884.905441108363</v>
      </c>
      <c r="S31" s="282"/>
      <c r="T31" s="238">
        <v>104578</v>
      </c>
      <c r="U31" s="318"/>
    </row>
    <row r="32" spans="2:21">
      <c r="B32" s="224">
        <v>103</v>
      </c>
      <c r="C32" s="31" t="s">
        <v>139</v>
      </c>
      <c r="D32" s="31">
        <v>42</v>
      </c>
      <c r="E32" s="34">
        <f>E31</f>
        <v>62000</v>
      </c>
      <c r="F32" s="34">
        <f t="shared" si="0"/>
        <v>65100</v>
      </c>
      <c r="G32" s="34">
        <f t="shared" si="1"/>
        <v>65751</v>
      </c>
      <c r="H32" s="34">
        <f t="shared" si="3"/>
        <v>67723.53</v>
      </c>
      <c r="I32" s="293">
        <f t="shared" si="4"/>
        <v>2844388.26</v>
      </c>
      <c r="J32" s="62"/>
      <c r="K32" s="213">
        <v>15000</v>
      </c>
      <c r="M32" s="293">
        <f t="shared" si="2"/>
        <v>553877.652</v>
      </c>
      <c r="N32" s="293">
        <f t="shared" si="5"/>
        <v>30770.980666666666</v>
      </c>
      <c r="O32" s="238">
        <f t="shared" si="9"/>
        <v>24215.190529411761</v>
      </c>
      <c r="P32" s="238">
        <f t="shared" si="10"/>
        <v>142219.41300000006</v>
      </c>
      <c r="Q32" s="282"/>
      <c r="R32" s="238">
        <f t="shared" si="11"/>
        <v>30884.905441108363</v>
      </c>
      <c r="S32" s="282"/>
      <c r="T32" s="238">
        <v>104578</v>
      </c>
      <c r="U32" s="318"/>
    </row>
    <row r="33" spans="1:22">
      <c r="B33" s="224">
        <v>104</v>
      </c>
      <c r="C33" s="31" t="s">
        <v>137</v>
      </c>
      <c r="D33" s="31">
        <v>42</v>
      </c>
      <c r="E33" s="34">
        <f>E30</f>
        <v>63500</v>
      </c>
      <c r="F33" s="34">
        <f t="shared" si="0"/>
        <v>66675</v>
      </c>
      <c r="G33" s="34">
        <f t="shared" si="1"/>
        <v>67341.75</v>
      </c>
      <c r="H33" s="34">
        <f t="shared" si="3"/>
        <v>69362.002500000002</v>
      </c>
      <c r="I33" s="293">
        <f t="shared" si="4"/>
        <v>2913204.105</v>
      </c>
      <c r="J33" s="62"/>
      <c r="K33" s="213">
        <v>15000</v>
      </c>
      <c r="M33" s="293">
        <f t="shared" si="2"/>
        <v>567640.821</v>
      </c>
      <c r="N33" s="293">
        <f t="shared" si="5"/>
        <v>31535.601166666667</v>
      </c>
      <c r="O33" s="238">
        <f t="shared" si="9"/>
        <v>24822.389161764706</v>
      </c>
      <c r="P33" s="238">
        <f t="shared" si="10"/>
        <v>145660.20525</v>
      </c>
      <c r="Q33" s="282"/>
      <c r="R33" s="238">
        <f t="shared" si="11"/>
        <v>31630.486934755252</v>
      </c>
      <c r="S33" s="282"/>
      <c r="T33" s="238">
        <f>T30</f>
        <v>106814</v>
      </c>
      <c r="U33" s="318"/>
    </row>
    <row r="34" spans="1:22">
      <c r="B34" s="224">
        <v>105</v>
      </c>
      <c r="C34" s="31" t="s">
        <v>139</v>
      </c>
      <c r="D34" s="31">
        <v>42</v>
      </c>
      <c r="E34" s="34">
        <f>E32</f>
        <v>62000</v>
      </c>
      <c r="F34" s="34">
        <f t="shared" si="0"/>
        <v>65100</v>
      </c>
      <c r="G34" s="34">
        <f t="shared" si="1"/>
        <v>65751</v>
      </c>
      <c r="H34" s="34">
        <f t="shared" si="3"/>
        <v>67723.53</v>
      </c>
      <c r="I34" s="293">
        <f>H34*D34</f>
        <v>2844388.26</v>
      </c>
      <c r="J34" s="62"/>
      <c r="K34" s="213">
        <v>15000</v>
      </c>
      <c r="M34" s="293">
        <f t="shared" si="2"/>
        <v>553877.652</v>
      </c>
      <c r="N34" s="293">
        <f t="shared" si="5"/>
        <v>30770.980666666666</v>
      </c>
      <c r="O34" s="238">
        <f t="shared" si="9"/>
        <v>24215.190529411761</v>
      </c>
      <c r="P34" s="238">
        <f t="shared" si="10"/>
        <v>142219.41300000006</v>
      </c>
      <c r="Q34" s="282"/>
      <c r="R34" s="238">
        <f t="shared" si="11"/>
        <v>30884.905441108363</v>
      </c>
      <c r="S34" s="282"/>
      <c r="T34" s="238">
        <f>T32</f>
        <v>104578</v>
      </c>
      <c r="U34" s="318"/>
    </row>
    <row r="35" spans="1:22" hidden="1">
      <c r="B35" s="224">
        <v>106</v>
      </c>
      <c r="C35" s="308" t="s">
        <v>139</v>
      </c>
      <c r="D35" s="308">
        <v>42</v>
      </c>
      <c r="E35" s="309">
        <f>E34</f>
        <v>62000</v>
      </c>
      <c r="F35" s="34">
        <f t="shared" si="0"/>
        <v>65100</v>
      </c>
      <c r="G35" s="34">
        <f t="shared" si="1"/>
        <v>65751</v>
      </c>
      <c r="H35" s="34">
        <f t="shared" si="3"/>
        <v>67723.53</v>
      </c>
      <c r="I35" s="293">
        <f t="shared" ref="I35:I38" si="12">H35*D35</f>
        <v>2844388.26</v>
      </c>
      <c r="J35" s="62"/>
      <c r="K35" s="213">
        <v>15000</v>
      </c>
      <c r="M35" s="293">
        <f t="shared" si="2"/>
        <v>553877.652</v>
      </c>
      <c r="N35" s="293">
        <f t="shared" si="5"/>
        <v>30770.980666666666</v>
      </c>
      <c r="O35" s="238">
        <f t="shared" si="9"/>
        <v>24215.190529411761</v>
      </c>
      <c r="P35" s="238">
        <f t="shared" si="10"/>
        <v>142219.41300000006</v>
      </c>
      <c r="Q35" s="282"/>
      <c r="R35" s="238">
        <f t="shared" si="11"/>
        <v>30303.916552219474</v>
      </c>
      <c r="S35" s="282"/>
      <c r="T35" s="238"/>
      <c r="U35" s="318"/>
    </row>
    <row r="36" spans="1:22" s="67" customFormat="1" ht="30" hidden="1" customHeight="1">
      <c r="A36" s="28"/>
      <c r="B36" s="224">
        <v>201</v>
      </c>
      <c r="C36" s="308" t="s">
        <v>142</v>
      </c>
      <c r="D36" s="308">
        <v>42</v>
      </c>
      <c r="E36" s="309">
        <f>'[2]Price per sqm-FF'!B7</f>
        <v>69000</v>
      </c>
      <c r="F36" s="34">
        <f t="shared" si="0"/>
        <v>72450</v>
      </c>
      <c r="G36" s="34">
        <f t="shared" si="1"/>
        <v>73174.5</v>
      </c>
      <c r="H36" s="34">
        <f t="shared" si="3"/>
        <v>75369.735000000001</v>
      </c>
      <c r="I36" s="293">
        <f t="shared" si="12"/>
        <v>3165528.87</v>
      </c>
      <c r="J36" s="62"/>
      <c r="K36" s="213">
        <v>15000</v>
      </c>
      <c r="L36" s="34"/>
      <c r="M36" s="293">
        <f t="shared" si="2"/>
        <v>618105.77400000009</v>
      </c>
      <c r="N36" s="293">
        <f t="shared" si="5"/>
        <v>34339.209666666669</v>
      </c>
      <c r="O36" s="238">
        <f t="shared" si="9"/>
        <v>27048.784147058821</v>
      </c>
      <c r="P36" s="238">
        <f t="shared" si="10"/>
        <v>158276.44350000011</v>
      </c>
      <c r="Q36" s="282"/>
      <c r="R36" s="238">
        <f t="shared" si="11"/>
        <v>33725.326485534577</v>
      </c>
      <c r="S36" s="282"/>
      <c r="T36" s="238"/>
      <c r="U36" s="318"/>
      <c r="V36" s="28"/>
    </row>
    <row r="37" spans="1:22" s="67" customFormat="1" ht="12" hidden="1" customHeight="1">
      <c r="A37" s="28"/>
      <c r="B37" s="224">
        <v>202</v>
      </c>
      <c r="C37" s="308" t="s">
        <v>143</v>
      </c>
      <c r="D37" s="308">
        <v>42</v>
      </c>
      <c r="E37" s="309">
        <f>'[2]Price per sqm-FF'!D7</f>
        <v>66000</v>
      </c>
      <c r="F37" s="34">
        <f t="shared" si="0"/>
        <v>69300</v>
      </c>
      <c r="G37" s="34">
        <f t="shared" si="1"/>
        <v>69993</v>
      </c>
      <c r="H37" s="34">
        <f t="shared" si="3"/>
        <v>72092.790000000008</v>
      </c>
      <c r="I37" s="293">
        <f t="shared" si="12"/>
        <v>3027897.18</v>
      </c>
      <c r="J37" s="62"/>
      <c r="K37" s="213">
        <v>15000</v>
      </c>
      <c r="L37" s="34"/>
      <c r="M37" s="293">
        <f t="shared" si="2"/>
        <v>590579.4360000001</v>
      </c>
      <c r="N37" s="293">
        <f t="shared" si="5"/>
        <v>32809.968666666675</v>
      </c>
      <c r="O37" s="238">
        <f t="shared" si="9"/>
        <v>25834.386882352941</v>
      </c>
      <c r="P37" s="238">
        <f t="shared" si="10"/>
        <v>151394.85900000011</v>
      </c>
      <c r="Q37" s="282"/>
      <c r="R37" s="238">
        <f t="shared" si="11"/>
        <v>32259.007942685254</v>
      </c>
      <c r="S37" s="282"/>
      <c r="T37" s="238"/>
      <c r="U37" s="318"/>
      <c r="V37" s="28"/>
    </row>
    <row r="38" spans="1:22" s="81" customFormat="1">
      <c r="A38" s="28"/>
      <c r="B38" s="224">
        <v>203</v>
      </c>
      <c r="C38" s="310" t="s">
        <v>139</v>
      </c>
      <c r="D38" s="310">
        <v>42</v>
      </c>
      <c r="E38" s="311">
        <f>'[2]Price per sqm-FF'!F7</f>
        <v>63000</v>
      </c>
      <c r="F38" s="34">
        <f t="shared" si="0"/>
        <v>66150</v>
      </c>
      <c r="G38" s="34">
        <f t="shared" si="1"/>
        <v>66811.5</v>
      </c>
      <c r="H38" s="34">
        <f t="shared" si="3"/>
        <v>68815.845000000001</v>
      </c>
      <c r="I38" s="293">
        <f t="shared" si="12"/>
        <v>2890265.49</v>
      </c>
      <c r="J38" s="62"/>
      <c r="K38" s="213">
        <v>15000</v>
      </c>
      <c r="L38" s="34"/>
      <c r="M38" s="293">
        <f t="shared" si="2"/>
        <v>563053.09800000011</v>
      </c>
      <c r="N38" s="293">
        <f t="shared" si="5"/>
        <v>31280.727666666673</v>
      </c>
      <c r="O38" s="238">
        <f t="shared" si="9"/>
        <v>24619.989617647057</v>
      </c>
      <c r="P38" s="238">
        <f t="shared" si="10"/>
        <v>144513.27450000012</v>
      </c>
      <c r="Q38" s="282"/>
      <c r="R38" s="238">
        <f t="shared" si="11"/>
        <v>31381.961622058145</v>
      </c>
      <c r="S38" s="282"/>
      <c r="T38" s="238">
        <v>106069</v>
      </c>
      <c r="U38" s="318"/>
      <c r="V38" s="28"/>
    </row>
    <row r="39" spans="1:22" hidden="1">
      <c r="B39" s="224">
        <v>204</v>
      </c>
      <c r="C39" s="31" t="s">
        <v>137</v>
      </c>
      <c r="D39" s="31">
        <v>42</v>
      </c>
      <c r="E39" s="34">
        <f>'[2]Price per sqm-FF'!E7</f>
        <v>64500</v>
      </c>
      <c r="F39" s="34">
        <f t="shared" si="0"/>
        <v>67725</v>
      </c>
      <c r="G39" s="34">
        <f t="shared" si="1"/>
        <v>68402.25</v>
      </c>
      <c r="H39" s="34">
        <f t="shared" si="3"/>
        <v>70454.317500000005</v>
      </c>
      <c r="I39" s="293">
        <f t="shared" si="4"/>
        <v>2959081.335</v>
      </c>
      <c r="J39" s="62"/>
      <c r="K39" s="213">
        <v>15000</v>
      </c>
      <c r="M39" s="293">
        <f t="shared" si="2"/>
        <v>576816.26699999999</v>
      </c>
      <c r="N39" s="293">
        <f t="shared" si="5"/>
        <v>32045.348166666667</v>
      </c>
      <c r="O39" s="238">
        <f t="shared" si="9"/>
        <v>25227.188249999999</v>
      </c>
      <c r="P39" s="238">
        <f t="shared" si="10"/>
        <v>147954.06675</v>
      </c>
      <c r="Q39" s="282"/>
      <c r="R39" s="238">
        <f t="shared" si="11"/>
        <v>32106.837560149474</v>
      </c>
      <c r="S39" s="282"/>
      <c r="T39" s="238">
        <v>104578</v>
      </c>
      <c r="U39" s="318"/>
    </row>
    <row r="40" spans="1:22" s="67" customFormat="1" hidden="1">
      <c r="A40" s="28"/>
      <c r="B40" s="224">
        <v>205</v>
      </c>
      <c r="C40" s="308" t="s">
        <v>142</v>
      </c>
      <c r="D40" s="308">
        <v>42</v>
      </c>
      <c r="E40" s="309">
        <f>E36</f>
        <v>69000</v>
      </c>
      <c r="F40" s="34">
        <f t="shared" si="0"/>
        <v>72450</v>
      </c>
      <c r="G40" s="34">
        <f t="shared" si="1"/>
        <v>73174.5</v>
      </c>
      <c r="H40" s="34">
        <f t="shared" si="3"/>
        <v>75369.735000000001</v>
      </c>
      <c r="I40" s="293">
        <f t="shared" si="4"/>
        <v>3165528.87</v>
      </c>
      <c r="J40" s="62"/>
      <c r="K40" s="213">
        <v>15000</v>
      </c>
      <c r="L40" s="34"/>
      <c r="M40" s="293">
        <f t="shared" si="2"/>
        <v>618105.77400000009</v>
      </c>
      <c r="N40" s="293">
        <f t="shared" si="5"/>
        <v>34339.209666666669</v>
      </c>
      <c r="O40" s="238">
        <f t="shared" si="9"/>
        <v>27048.784147058821</v>
      </c>
      <c r="P40" s="238">
        <f t="shared" si="10"/>
        <v>158276.44350000011</v>
      </c>
      <c r="Q40" s="282"/>
      <c r="R40" s="238">
        <f t="shared" si="11"/>
        <v>34306.315374423466</v>
      </c>
      <c r="S40" s="282"/>
      <c r="T40" s="238">
        <v>104578</v>
      </c>
      <c r="U40" s="318"/>
      <c r="V40" s="28"/>
    </row>
    <row r="41" spans="1:22">
      <c r="B41" s="224">
        <v>206</v>
      </c>
      <c r="C41" s="31" t="s">
        <v>139</v>
      </c>
      <c r="D41" s="310">
        <v>42</v>
      </c>
      <c r="E41" s="34">
        <f>E38</f>
        <v>63000</v>
      </c>
      <c r="F41" s="34">
        <f t="shared" si="0"/>
        <v>66150</v>
      </c>
      <c r="G41" s="34">
        <f t="shared" si="1"/>
        <v>66811.5</v>
      </c>
      <c r="H41" s="34">
        <f t="shared" si="3"/>
        <v>68815.845000000001</v>
      </c>
      <c r="I41" s="293">
        <f t="shared" si="4"/>
        <v>2890265.49</v>
      </c>
      <c r="J41" s="261"/>
      <c r="K41" s="213">
        <v>15000</v>
      </c>
      <c r="M41" s="293">
        <f t="shared" si="2"/>
        <v>563053.09800000011</v>
      </c>
      <c r="N41" s="293">
        <f t="shared" si="5"/>
        <v>31280.727666666673</v>
      </c>
      <c r="O41" s="238">
        <f t="shared" si="9"/>
        <v>24619.989617647057</v>
      </c>
      <c r="P41" s="238">
        <f t="shared" si="10"/>
        <v>144513.27450000012</v>
      </c>
      <c r="Q41" s="282"/>
      <c r="R41" s="238">
        <f t="shared" si="11"/>
        <v>31381.961622058145</v>
      </c>
      <c r="S41" s="282"/>
      <c r="T41" s="238">
        <f>T38</f>
        <v>106069</v>
      </c>
      <c r="U41" s="318"/>
    </row>
    <row r="42" spans="1:22">
      <c r="B42" s="224">
        <v>207</v>
      </c>
      <c r="C42" s="31" t="s">
        <v>139</v>
      </c>
      <c r="D42" s="310">
        <v>42</v>
      </c>
      <c r="E42" s="34">
        <f>E41</f>
        <v>63000</v>
      </c>
      <c r="F42" s="34">
        <f t="shared" si="0"/>
        <v>66150</v>
      </c>
      <c r="G42" s="34">
        <f t="shared" si="1"/>
        <v>66811.5</v>
      </c>
      <c r="H42" s="34">
        <f t="shared" si="3"/>
        <v>68815.845000000001</v>
      </c>
      <c r="I42" s="293">
        <f t="shared" si="4"/>
        <v>2890265.49</v>
      </c>
      <c r="J42" s="62"/>
      <c r="K42" s="213">
        <v>15000</v>
      </c>
      <c r="M42" s="293">
        <f t="shared" si="2"/>
        <v>563053.09800000011</v>
      </c>
      <c r="N42" s="293">
        <f t="shared" si="5"/>
        <v>31280.727666666673</v>
      </c>
      <c r="O42" s="238">
        <f t="shared" si="9"/>
        <v>24619.989617647057</v>
      </c>
      <c r="P42" s="238">
        <f t="shared" si="10"/>
        <v>144513.27450000012</v>
      </c>
      <c r="Q42" s="282"/>
      <c r="R42" s="238">
        <f t="shared" si="11"/>
        <v>31381.961622058145</v>
      </c>
      <c r="S42" s="282"/>
      <c r="T42" s="238">
        <f>T41</f>
        <v>106069</v>
      </c>
      <c r="U42" s="318"/>
    </row>
    <row r="43" spans="1:22" s="67" customFormat="1" ht="30" hidden="1" customHeight="1">
      <c r="A43" s="28"/>
      <c r="B43" s="224">
        <v>301</v>
      </c>
      <c r="C43" s="308" t="s">
        <v>142</v>
      </c>
      <c r="D43" s="308">
        <v>42</v>
      </c>
      <c r="E43" s="309">
        <f>'[2]Price per sqm-FF'!B8</f>
        <v>70000</v>
      </c>
      <c r="F43" s="34">
        <f t="shared" si="0"/>
        <v>73500</v>
      </c>
      <c r="G43" s="34">
        <f t="shared" si="1"/>
        <v>74235</v>
      </c>
      <c r="H43" s="34">
        <f t="shared" si="3"/>
        <v>76462.05</v>
      </c>
      <c r="I43" s="293">
        <f t="shared" si="4"/>
        <v>3211406.1</v>
      </c>
      <c r="J43" s="62"/>
      <c r="K43" s="213">
        <v>15000</v>
      </c>
      <c r="L43" s="34"/>
      <c r="M43" s="293">
        <f t="shared" si="2"/>
        <v>627281.22000000009</v>
      </c>
      <c r="N43" s="293">
        <f t="shared" si="5"/>
        <v>34848.956666666672</v>
      </c>
      <c r="O43" s="238">
        <f t="shared" si="9"/>
        <v>27453.583235294118</v>
      </c>
      <c r="P43" s="238">
        <f t="shared" si="10"/>
        <v>160570.30500000011</v>
      </c>
      <c r="Q43" s="282"/>
      <c r="R43" s="238">
        <f t="shared" si="11"/>
        <v>34214.099333151025</v>
      </c>
      <c r="S43" s="282"/>
      <c r="T43" s="238"/>
      <c r="U43" s="318"/>
      <c r="V43" s="28"/>
    </row>
    <row r="44" spans="1:22">
      <c r="B44" s="224">
        <v>302</v>
      </c>
      <c r="C44" s="31" t="s">
        <v>143</v>
      </c>
      <c r="D44" s="310">
        <v>42</v>
      </c>
      <c r="E44" s="34">
        <f>'[2]Price per sqm-FF'!D8</f>
        <v>67000</v>
      </c>
      <c r="F44" s="34">
        <f t="shared" si="0"/>
        <v>70350</v>
      </c>
      <c r="G44" s="34">
        <f t="shared" si="1"/>
        <v>71053.5</v>
      </c>
      <c r="H44" s="34">
        <f t="shared" si="3"/>
        <v>73185.104999999996</v>
      </c>
      <c r="I44" s="293">
        <f t="shared" si="4"/>
        <v>3073774.4099999997</v>
      </c>
      <c r="J44" s="62"/>
      <c r="K44" s="213">
        <v>15000</v>
      </c>
      <c r="M44" s="293">
        <f t="shared" si="2"/>
        <v>599754.88199999998</v>
      </c>
      <c r="N44" s="293">
        <f t="shared" si="5"/>
        <v>33319.715666666663</v>
      </c>
      <c r="O44" s="238">
        <f t="shared" si="9"/>
        <v>26239.185970588231</v>
      </c>
      <c r="P44" s="238">
        <f t="shared" si="10"/>
        <v>153688.72050000005</v>
      </c>
      <c r="Q44" s="282"/>
      <c r="R44" s="238">
        <f t="shared" si="11"/>
        <v>33370.186345857241</v>
      </c>
      <c r="S44" s="282"/>
      <c r="T44" s="238">
        <v>112033</v>
      </c>
      <c r="U44" s="318"/>
    </row>
    <row r="45" spans="1:22">
      <c r="B45" s="224">
        <v>303</v>
      </c>
      <c r="C45" s="31" t="s">
        <v>139</v>
      </c>
      <c r="D45" s="310">
        <v>42</v>
      </c>
      <c r="E45" s="34">
        <f>'[2]Price per sqm-FF'!F8</f>
        <v>64000</v>
      </c>
      <c r="F45" s="34">
        <f t="shared" ref="F45:F74" si="13">E45*1.05</f>
        <v>67200</v>
      </c>
      <c r="G45" s="34">
        <f t="shared" ref="G45:G74" si="14">F45*1.01</f>
        <v>67872</v>
      </c>
      <c r="H45" s="34">
        <f t="shared" si="3"/>
        <v>69908.160000000003</v>
      </c>
      <c r="I45" s="293">
        <f t="shared" si="4"/>
        <v>2936142.72</v>
      </c>
      <c r="J45" s="62"/>
      <c r="K45" s="213">
        <v>15000</v>
      </c>
      <c r="M45" s="293">
        <f t="shared" ref="M45:M74" si="15">I45*0.2-K45</f>
        <v>572228.54400000011</v>
      </c>
      <c r="N45" s="293">
        <f t="shared" si="5"/>
        <v>31790.474666666672</v>
      </c>
      <c r="O45" s="238">
        <f t="shared" si="9"/>
        <v>25024.788705882354</v>
      </c>
      <c r="P45" s="238">
        <f t="shared" si="10"/>
        <v>146807.13600000006</v>
      </c>
      <c r="Q45" s="282"/>
      <c r="R45" s="238">
        <f t="shared" si="11"/>
        <v>31879.017803007919</v>
      </c>
      <c r="S45" s="282"/>
      <c r="T45" s="238">
        <v>107560</v>
      </c>
      <c r="U45" s="318"/>
    </row>
    <row r="46" spans="1:22" s="81" customFormat="1" hidden="1">
      <c r="A46" s="28"/>
      <c r="B46" s="224">
        <v>304</v>
      </c>
      <c r="C46" s="310" t="s">
        <v>142</v>
      </c>
      <c r="D46" s="310">
        <v>42</v>
      </c>
      <c r="E46" s="311">
        <f>'[2]Price per sqm-FF'!B8</f>
        <v>70000</v>
      </c>
      <c r="F46" s="34">
        <f t="shared" si="13"/>
        <v>73500</v>
      </c>
      <c r="G46" s="34">
        <f t="shared" si="14"/>
        <v>74235</v>
      </c>
      <c r="H46" s="34">
        <f t="shared" si="3"/>
        <v>76462.05</v>
      </c>
      <c r="I46" s="293">
        <f t="shared" si="4"/>
        <v>3211406.1</v>
      </c>
      <c r="J46" s="62"/>
      <c r="K46" s="213">
        <v>15000</v>
      </c>
      <c r="L46" s="34"/>
      <c r="M46" s="293">
        <f t="shared" si="15"/>
        <v>627281.22000000009</v>
      </c>
      <c r="N46" s="293">
        <f t="shared" si="5"/>
        <v>34848.956666666672</v>
      </c>
      <c r="O46" s="238">
        <f t="shared" si="9"/>
        <v>27453.583235294118</v>
      </c>
      <c r="P46" s="238">
        <f t="shared" si="10"/>
        <v>160570.30500000011</v>
      </c>
      <c r="Q46" s="282"/>
      <c r="R46" s="238">
        <f t="shared" si="11"/>
        <v>34811.65488870658</v>
      </c>
      <c r="S46" s="282"/>
      <c r="T46" s="238">
        <v>107560</v>
      </c>
      <c r="U46" s="318"/>
      <c r="V46" s="28"/>
    </row>
    <row r="47" spans="1:22" s="67" customFormat="1" hidden="1">
      <c r="A47" s="28"/>
      <c r="B47" s="224">
        <v>305</v>
      </c>
      <c r="C47" s="312" t="s">
        <v>142</v>
      </c>
      <c r="D47" s="312">
        <v>42</v>
      </c>
      <c r="E47" s="313">
        <f>E46</f>
        <v>70000</v>
      </c>
      <c r="F47" s="34">
        <f t="shared" si="13"/>
        <v>73500</v>
      </c>
      <c r="G47" s="34">
        <f t="shared" si="14"/>
        <v>74235</v>
      </c>
      <c r="H47" s="34">
        <f t="shared" si="3"/>
        <v>76462.05</v>
      </c>
      <c r="I47" s="293">
        <f t="shared" si="4"/>
        <v>3211406.1</v>
      </c>
      <c r="J47" s="62"/>
      <c r="K47" s="213">
        <v>15000</v>
      </c>
      <c r="L47" s="34"/>
      <c r="M47" s="293">
        <f t="shared" si="15"/>
        <v>627281.22000000009</v>
      </c>
      <c r="N47" s="293">
        <f t="shared" si="5"/>
        <v>34848.956666666672</v>
      </c>
      <c r="O47" s="238">
        <f t="shared" si="9"/>
        <v>27453.583235294118</v>
      </c>
      <c r="P47" s="238">
        <f t="shared" si="10"/>
        <v>160570.30500000011</v>
      </c>
      <c r="Q47" s="282"/>
      <c r="R47" s="238">
        <f t="shared" si="11"/>
        <v>34811.65488870658</v>
      </c>
      <c r="S47" s="282"/>
      <c r="T47" s="238">
        <v>107560</v>
      </c>
      <c r="U47" s="318"/>
      <c r="V47" s="28"/>
    </row>
    <row r="48" spans="1:22">
      <c r="B48" s="224">
        <v>306</v>
      </c>
      <c r="C48" s="31" t="s">
        <v>139</v>
      </c>
      <c r="D48" s="310">
        <v>42</v>
      </c>
      <c r="E48" s="34">
        <f>E45</f>
        <v>64000</v>
      </c>
      <c r="F48" s="34">
        <f t="shared" si="13"/>
        <v>67200</v>
      </c>
      <c r="G48" s="34">
        <f t="shared" si="14"/>
        <v>67872</v>
      </c>
      <c r="H48" s="34">
        <f t="shared" si="3"/>
        <v>69908.160000000003</v>
      </c>
      <c r="I48" s="293">
        <f t="shared" si="4"/>
        <v>2936142.72</v>
      </c>
      <c r="J48" s="62"/>
      <c r="K48" s="213">
        <v>15000</v>
      </c>
      <c r="M48" s="293">
        <f t="shared" si="15"/>
        <v>572228.54400000011</v>
      </c>
      <c r="N48" s="293">
        <f t="shared" si="5"/>
        <v>31790.474666666672</v>
      </c>
      <c r="O48" s="238">
        <f t="shared" si="9"/>
        <v>25024.788705882354</v>
      </c>
      <c r="P48" s="238">
        <f t="shared" si="10"/>
        <v>146807.13600000006</v>
      </c>
      <c r="Q48" s="282"/>
      <c r="R48" s="238">
        <f t="shared" si="11"/>
        <v>31879.017803007919</v>
      </c>
      <c r="S48" s="282"/>
      <c r="T48" s="238">
        <v>107560</v>
      </c>
      <c r="U48" s="318"/>
    </row>
    <row r="49" spans="1:22">
      <c r="B49" s="224">
        <v>307</v>
      </c>
      <c r="C49" s="31" t="s">
        <v>139</v>
      </c>
      <c r="D49" s="310">
        <v>42</v>
      </c>
      <c r="E49" s="34">
        <f>E48</f>
        <v>64000</v>
      </c>
      <c r="F49" s="34">
        <f t="shared" si="13"/>
        <v>67200</v>
      </c>
      <c r="G49" s="34">
        <f t="shared" si="14"/>
        <v>67872</v>
      </c>
      <c r="H49" s="34">
        <f t="shared" si="3"/>
        <v>69908.160000000003</v>
      </c>
      <c r="I49" s="293">
        <f t="shared" si="4"/>
        <v>2936142.72</v>
      </c>
      <c r="J49" s="62"/>
      <c r="K49" s="213">
        <v>15000</v>
      </c>
      <c r="M49" s="293">
        <f t="shared" si="15"/>
        <v>572228.54400000011</v>
      </c>
      <c r="N49" s="293">
        <f t="shared" si="5"/>
        <v>31790.474666666672</v>
      </c>
      <c r="O49" s="238">
        <f t="shared" si="9"/>
        <v>25024.788705882354</v>
      </c>
      <c r="P49" s="238">
        <f t="shared" si="10"/>
        <v>146807.13600000006</v>
      </c>
      <c r="Q49" s="282"/>
      <c r="R49" s="238">
        <f t="shared" si="11"/>
        <v>31879.017803007919</v>
      </c>
      <c r="S49" s="282"/>
      <c r="T49" s="238">
        <v>107560</v>
      </c>
      <c r="U49" s="318"/>
    </row>
    <row r="50" spans="1:22">
      <c r="B50" s="224">
        <v>308</v>
      </c>
      <c r="C50" s="31" t="s">
        <v>191</v>
      </c>
      <c r="D50" s="31">
        <v>42</v>
      </c>
      <c r="E50" s="34">
        <f>'[2]Price per sqm-FF'!C8</f>
        <v>68500</v>
      </c>
      <c r="F50" s="34">
        <f t="shared" si="13"/>
        <v>71925</v>
      </c>
      <c r="G50" s="34">
        <f t="shared" si="14"/>
        <v>72644.25</v>
      </c>
      <c r="H50" s="34">
        <f t="shared" si="3"/>
        <v>74823.577499999999</v>
      </c>
      <c r="I50" s="293">
        <f t="shared" si="4"/>
        <v>3142590.2549999999</v>
      </c>
      <c r="J50" s="62"/>
      <c r="K50" s="213">
        <v>15000</v>
      </c>
      <c r="M50" s="293">
        <f t="shared" si="15"/>
        <v>613518.05099999998</v>
      </c>
      <c r="N50" s="293">
        <f t="shared" si="5"/>
        <v>34084.336166666668</v>
      </c>
      <c r="O50" s="238">
        <f t="shared" si="9"/>
        <v>26846.384602941176</v>
      </c>
      <c r="P50" s="238">
        <f t="shared" si="10"/>
        <v>157129.51274999999</v>
      </c>
      <c r="Q50" s="282"/>
      <c r="R50" s="238">
        <f t="shared" si="11"/>
        <v>34115.767839504129</v>
      </c>
      <c r="S50" s="282"/>
      <c r="T50" s="238">
        <v>114269</v>
      </c>
      <c r="U50" s="318"/>
    </row>
    <row r="51" spans="1:22" s="67" customFormat="1" ht="30" hidden="1" customHeight="1">
      <c r="A51" s="28"/>
      <c r="B51" s="315">
        <v>401</v>
      </c>
      <c r="C51" s="312" t="s">
        <v>142</v>
      </c>
      <c r="D51" s="312">
        <v>42</v>
      </c>
      <c r="E51" s="313">
        <f>'[2]Price per sqm-FF'!B9</f>
        <v>71000</v>
      </c>
      <c r="F51" s="34">
        <f t="shared" si="13"/>
        <v>74550</v>
      </c>
      <c r="G51" s="34">
        <f t="shared" si="14"/>
        <v>75295.5</v>
      </c>
      <c r="H51" s="34">
        <f t="shared" si="3"/>
        <v>77554.365000000005</v>
      </c>
      <c r="I51" s="293">
        <f t="shared" si="4"/>
        <v>3257283.33</v>
      </c>
      <c r="J51" s="62"/>
      <c r="K51" s="213">
        <v>15000</v>
      </c>
      <c r="L51" s="34"/>
      <c r="M51" s="293">
        <f t="shared" si="15"/>
        <v>636456.66600000008</v>
      </c>
      <c r="N51" s="293">
        <f t="shared" si="5"/>
        <v>35358.703666666668</v>
      </c>
      <c r="O51" s="238">
        <f t="shared" si="9"/>
        <v>27858.382323529411</v>
      </c>
      <c r="P51" s="238">
        <f t="shared" si="10"/>
        <v>162864.16650000011</v>
      </c>
      <c r="Q51" s="282"/>
      <c r="R51" s="238">
        <f t="shared" si="11"/>
        <v>34702.872180767466</v>
      </c>
      <c r="S51" s="282"/>
      <c r="T51" s="238"/>
      <c r="U51" s="318"/>
      <c r="V51" s="28"/>
    </row>
    <row r="52" spans="1:22">
      <c r="B52" s="224">
        <v>402</v>
      </c>
      <c r="C52" s="31" t="s">
        <v>143</v>
      </c>
      <c r="D52" s="310">
        <v>42</v>
      </c>
      <c r="E52" s="34">
        <f>'[2]Price per sqm-FF'!D9</f>
        <v>68000</v>
      </c>
      <c r="F52" s="34">
        <f t="shared" si="13"/>
        <v>71400</v>
      </c>
      <c r="G52" s="34">
        <f t="shared" si="14"/>
        <v>72114</v>
      </c>
      <c r="H52" s="34">
        <f t="shared" si="3"/>
        <v>74277.42</v>
      </c>
      <c r="I52" s="293">
        <f t="shared" si="4"/>
        <v>3119651.64</v>
      </c>
      <c r="J52" s="62"/>
      <c r="K52" s="213">
        <v>15000</v>
      </c>
      <c r="M52" s="293">
        <f t="shared" si="15"/>
        <v>608930.3280000001</v>
      </c>
      <c r="N52" s="293">
        <f t="shared" si="5"/>
        <v>33829.462666666674</v>
      </c>
      <c r="O52" s="238">
        <f t="shared" si="9"/>
        <v>26643.985058823528</v>
      </c>
      <c r="P52" s="238">
        <f t="shared" si="10"/>
        <v>155982.58200000011</v>
      </c>
      <c r="Q52" s="282"/>
      <c r="R52" s="238">
        <f t="shared" si="11"/>
        <v>33867.242526807022</v>
      </c>
      <c r="S52" s="282"/>
      <c r="T52" s="238">
        <v>113524</v>
      </c>
      <c r="U52" s="318"/>
    </row>
    <row r="53" spans="1:22">
      <c r="B53" s="224">
        <v>403</v>
      </c>
      <c r="C53" s="31" t="s">
        <v>139</v>
      </c>
      <c r="D53" s="310">
        <v>42</v>
      </c>
      <c r="E53" s="34">
        <f>'[2]Price per sqm-FF'!F9</f>
        <v>65000</v>
      </c>
      <c r="F53" s="34">
        <f t="shared" si="13"/>
        <v>68250</v>
      </c>
      <c r="G53" s="34">
        <f t="shared" si="14"/>
        <v>68932.5</v>
      </c>
      <c r="H53" s="34">
        <f t="shared" si="3"/>
        <v>71000.475000000006</v>
      </c>
      <c r="I53" s="293">
        <f t="shared" si="4"/>
        <v>2982019.95</v>
      </c>
      <c r="J53" s="62"/>
      <c r="K53" s="213">
        <v>15000</v>
      </c>
      <c r="M53" s="293">
        <f t="shared" si="15"/>
        <v>581403.99000000011</v>
      </c>
      <c r="N53" s="293">
        <f t="shared" si="5"/>
        <v>32300.221666666672</v>
      </c>
      <c r="O53" s="238">
        <f t="shared" si="9"/>
        <v>25429.587794117648</v>
      </c>
      <c r="P53" s="238">
        <f t="shared" si="10"/>
        <v>149100.99750000011</v>
      </c>
      <c r="Q53" s="282"/>
      <c r="R53" s="238">
        <f t="shared" si="11"/>
        <v>32376.073983957696</v>
      </c>
      <c r="S53" s="282"/>
      <c r="T53" s="238">
        <v>109051</v>
      </c>
      <c r="U53" s="318"/>
    </row>
    <row r="54" spans="1:22">
      <c r="B54" s="224">
        <v>404</v>
      </c>
      <c r="C54" s="31" t="s">
        <v>142</v>
      </c>
      <c r="D54" s="31">
        <v>42</v>
      </c>
      <c r="E54" s="34">
        <f>E51</f>
        <v>71000</v>
      </c>
      <c r="F54" s="34">
        <f t="shared" si="13"/>
        <v>74550</v>
      </c>
      <c r="G54" s="34">
        <f t="shared" si="14"/>
        <v>75295.5</v>
      </c>
      <c r="H54" s="34">
        <f t="shared" si="3"/>
        <v>77554.365000000005</v>
      </c>
      <c r="I54" s="293">
        <f t="shared" si="4"/>
        <v>3257283.33</v>
      </c>
      <c r="J54" s="62"/>
      <c r="K54" s="213">
        <v>15000</v>
      </c>
      <c r="M54" s="293">
        <f t="shared" si="15"/>
        <v>636456.66600000008</v>
      </c>
      <c r="N54" s="293">
        <f t="shared" si="5"/>
        <v>35358.703666666668</v>
      </c>
      <c r="O54" s="238">
        <f t="shared" si="9"/>
        <v>27858.382323529411</v>
      </c>
      <c r="P54" s="238">
        <f t="shared" si="10"/>
        <v>162864.16650000011</v>
      </c>
      <c r="Q54" s="282"/>
      <c r="R54" s="238">
        <f t="shared" si="11"/>
        <v>35358.411069656358</v>
      </c>
      <c r="S54" s="282"/>
      <c r="T54" s="238">
        <v>117997</v>
      </c>
      <c r="U54" s="318"/>
    </row>
    <row r="55" spans="1:22" s="67" customFormat="1" hidden="1">
      <c r="A55" s="28"/>
      <c r="B55" s="315">
        <v>405</v>
      </c>
      <c r="C55" s="312" t="s">
        <v>142</v>
      </c>
      <c r="D55" s="312">
        <v>42</v>
      </c>
      <c r="E55" s="313">
        <f>E54</f>
        <v>71000</v>
      </c>
      <c r="F55" s="34">
        <f t="shared" si="13"/>
        <v>74550</v>
      </c>
      <c r="G55" s="34">
        <f t="shared" si="14"/>
        <v>75295.5</v>
      </c>
      <c r="H55" s="34">
        <f t="shared" si="3"/>
        <v>77554.365000000005</v>
      </c>
      <c r="I55" s="293">
        <f t="shared" si="4"/>
        <v>3257283.33</v>
      </c>
      <c r="J55" s="62"/>
      <c r="K55" s="213">
        <v>15000</v>
      </c>
      <c r="L55" s="34"/>
      <c r="M55" s="293">
        <f t="shared" si="15"/>
        <v>636456.66600000008</v>
      </c>
      <c r="N55" s="293">
        <f t="shared" si="5"/>
        <v>35358.703666666668</v>
      </c>
      <c r="O55" s="238">
        <f t="shared" si="9"/>
        <v>27858.382323529411</v>
      </c>
      <c r="P55" s="238">
        <f t="shared" si="10"/>
        <v>162864.16650000011</v>
      </c>
      <c r="Q55" s="282"/>
      <c r="R55" s="238">
        <f t="shared" si="11"/>
        <v>34702.872180767466</v>
      </c>
      <c r="S55" s="282"/>
      <c r="T55" s="238"/>
      <c r="U55" s="318"/>
      <c r="V55" s="28"/>
    </row>
    <row r="56" spans="1:22">
      <c r="B56" s="224">
        <v>406</v>
      </c>
      <c r="C56" s="31" t="s">
        <v>139</v>
      </c>
      <c r="D56" s="310">
        <v>42</v>
      </c>
      <c r="E56" s="34">
        <f>E53</f>
        <v>65000</v>
      </c>
      <c r="F56" s="34">
        <f t="shared" si="13"/>
        <v>68250</v>
      </c>
      <c r="G56" s="34">
        <f t="shared" si="14"/>
        <v>68932.5</v>
      </c>
      <c r="H56" s="34">
        <f t="shared" si="3"/>
        <v>71000.475000000006</v>
      </c>
      <c r="I56" s="293">
        <f t="shared" si="4"/>
        <v>2982019.95</v>
      </c>
      <c r="J56" s="62"/>
      <c r="K56" s="213">
        <v>15000</v>
      </c>
      <c r="M56" s="293">
        <f t="shared" si="15"/>
        <v>581403.99000000011</v>
      </c>
      <c r="N56" s="293">
        <f t="shared" si="5"/>
        <v>32300.221666666672</v>
      </c>
      <c r="O56" s="238">
        <f t="shared" si="9"/>
        <v>25429.587794117648</v>
      </c>
      <c r="P56" s="238">
        <f t="shared" si="10"/>
        <v>149100.99750000011</v>
      </c>
      <c r="Q56" s="282"/>
      <c r="R56" s="238">
        <f t="shared" si="11"/>
        <v>32376.073983957696</v>
      </c>
      <c r="S56" s="282"/>
      <c r="T56" s="238">
        <v>109051</v>
      </c>
      <c r="U56" s="318"/>
    </row>
    <row r="57" spans="1:22">
      <c r="B57" s="224">
        <v>407</v>
      </c>
      <c r="C57" s="31" t="s">
        <v>139</v>
      </c>
      <c r="D57" s="310">
        <v>42</v>
      </c>
      <c r="E57" s="34">
        <f>E56</f>
        <v>65000</v>
      </c>
      <c r="F57" s="34">
        <f t="shared" si="13"/>
        <v>68250</v>
      </c>
      <c r="G57" s="34">
        <f t="shared" si="14"/>
        <v>68932.5</v>
      </c>
      <c r="H57" s="34">
        <f t="shared" si="3"/>
        <v>71000.475000000006</v>
      </c>
      <c r="I57" s="293">
        <f t="shared" si="4"/>
        <v>2982019.95</v>
      </c>
      <c r="J57" s="62"/>
      <c r="K57" s="213">
        <v>15000</v>
      </c>
      <c r="M57" s="293">
        <f t="shared" si="15"/>
        <v>581403.99000000011</v>
      </c>
      <c r="N57" s="293">
        <f t="shared" si="5"/>
        <v>32300.221666666672</v>
      </c>
      <c r="O57" s="238">
        <f t="shared" si="9"/>
        <v>25429.587794117648</v>
      </c>
      <c r="P57" s="238">
        <f t="shared" si="10"/>
        <v>149100.99750000011</v>
      </c>
      <c r="Q57" s="282"/>
      <c r="R57" s="238">
        <f t="shared" si="11"/>
        <v>32376.073983957696</v>
      </c>
      <c r="S57" s="282"/>
      <c r="T57" s="238">
        <f>T56</f>
        <v>109051</v>
      </c>
      <c r="U57" s="318"/>
    </row>
    <row r="58" spans="1:22">
      <c r="B58" s="224">
        <v>408</v>
      </c>
      <c r="C58" s="31" t="s">
        <v>191</v>
      </c>
      <c r="D58" s="310">
        <v>42</v>
      </c>
      <c r="E58" s="34">
        <f>'[2]Price per sqm-FF'!C9</f>
        <v>69500</v>
      </c>
      <c r="F58" s="34">
        <f t="shared" si="13"/>
        <v>72975</v>
      </c>
      <c r="G58" s="34">
        <f t="shared" si="14"/>
        <v>73704.75</v>
      </c>
      <c r="H58" s="34">
        <f t="shared" si="3"/>
        <v>75915.892500000002</v>
      </c>
      <c r="I58" s="293">
        <f t="shared" si="4"/>
        <v>3188467.4849999999</v>
      </c>
      <c r="J58" s="62"/>
      <c r="K58" s="213">
        <v>15000</v>
      </c>
      <c r="M58" s="293">
        <f t="shared" si="15"/>
        <v>622693.49699999997</v>
      </c>
      <c r="N58" s="293">
        <f t="shared" si="5"/>
        <v>34594.083166666664</v>
      </c>
      <c r="O58" s="238">
        <f t="shared" si="9"/>
        <v>27251.183691176469</v>
      </c>
      <c r="P58" s="238">
        <f t="shared" si="10"/>
        <v>159423.37424999999</v>
      </c>
      <c r="Q58" s="282"/>
      <c r="R58" s="238">
        <f t="shared" si="11"/>
        <v>34612.824020453911</v>
      </c>
      <c r="S58" s="282"/>
      <c r="T58" s="238">
        <v>115760</v>
      </c>
      <c r="U58" s="318"/>
    </row>
    <row r="59" spans="1:22" ht="30" hidden="1" customHeight="1">
      <c r="B59" s="224">
        <v>501</v>
      </c>
      <c r="C59" s="31" t="s">
        <v>142</v>
      </c>
      <c r="D59" s="31">
        <v>42</v>
      </c>
      <c r="E59" s="34">
        <f>'[2]Price per sqm-FF'!B10</f>
        <v>72000</v>
      </c>
      <c r="F59" s="34">
        <f t="shared" si="13"/>
        <v>75600</v>
      </c>
      <c r="G59" s="34">
        <f t="shared" si="14"/>
        <v>76356</v>
      </c>
      <c r="H59" s="34">
        <f t="shared" si="3"/>
        <v>78646.680000000008</v>
      </c>
      <c r="I59" s="293">
        <f t="shared" si="4"/>
        <v>3303160.5600000005</v>
      </c>
      <c r="J59" s="62"/>
      <c r="K59" s="213">
        <v>15000</v>
      </c>
      <c r="M59" s="293">
        <f t="shared" si="15"/>
        <v>645632.1120000002</v>
      </c>
      <c r="N59" s="293">
        <f t="shared" si="5"/>
        <v>35868.450666666678</v>
      </c>
      <c r="O59" s="238">
        <f t="shared" si="9"/>
        <v>28263.181411764708</v>
      </c>
      <c r="P59" s="238">
        <f t="shared" si="10"/>
        <v>165158.02800000017</v>
      </c>
      <c r="Q59" s="282"/>
      <c r="R59" s="238">
        <f t="shared" si="11"/>
        <v>35191.645028383915</v>
      </c>
      <c r="S59" s="282"/>
      <c r="T59" s="238"/>
      <c r="U59" s="318"/>
    </row>
    <row r="60" spans="1:22">
      <c r="B60" s="224">
        <v>502</v>
      </c>
      <c r="C60" s="31" t="s">
        <v>143</v>
      </c>
      <c r="D60" s="310">
        <v>42</v>
      </c>
      <c r="E60" s="34">
        <f>'[2]Price per sqm-FF'!D10</f>
        <v>69000</v>
      </c>
      <c r="F60" s="34">
        <f t="shared" si="13"/>
        <v>72450</v>
      </c>
      <c r="G60" s="34">
        <f t="shared" si="14"/>
        <v>73174.5</v>
      </c>
      <c r="H60" s="34">
        <f t="shared" si="3"/>
        <v>75369.735000000001</v>
      </c>
      <c r="I60" s="293">
        <f t="shared" si="4"/>
        <v>3165528.87</v>
      </c>
      <c r="J60" s="62"/>
      <c r="K60" s="213">
        <v>15000</v>
      </c>
      <c r="M60" s="293">
        <f t="shared" si="15"/>
        <v>618105.77400000009</v>
      </c>
      <c r="N60" s="293">
        <f t="shared" si="5"/>
        <v>34339.209666666669</v>
      </c>
      <c r="O60" s="238">
        <f t="shared" si="9"/>
        <v>27048.784147058821</v>
      </c>
      <c r="P60" s="238">
        <f t="shared" si="10"/>
        <v>158276.44350000011</v>
      </c>
      <c r="Q60" s="282"/>
      <c r="R60" s="238">
        <f t="shared" si="11"/>
        <v>34364.298707756796</v>
      </c>
      <c r="S60" s="282"/>
      <c r="T60" s="238">
        <v>115015</v>
      </c>
      <c r="U60" s="318"/>
    </row>
    <row r="61" spans="1:22">
      <c r="B61" s="224">
        <v>503</v>
      </c>
      <c r="C61" s="31" t="s">
        <v>139</v>
      </c>
      <c r="D61" s="310">
        <v>42</v>
      </c>
      <c r="E61" s="34">
        <f>'[2]Price per sqm-FF'!F10</f>
        <v>66000</v>
      </c>
      <c r="F61" s="34">
        <f t="shared" si="13"/>
        <v>69300</v>
      </c>
      <c r="G61" s="34">
        <f t="shared" si="14"/>
        <v>69993</v>
      </c>
      <c r="H61" s="34">
        <f t="shared" si="3"/>
        <v>72092.790000000008</v>
      </c>
      <c r="I61" s="293">
        <f t="shared" si="4"/>
        <v>3027897.18</v>
      </c>
      <c r="J61" s="62"/>
      <c r="K61" s="213">
        <v>15000</v>
      </c>
      <c r="M61" s="293">
        <f t="shared" si="15"/>
        <v>590579.4360000001</v>
      </c>
      <c r="N61" s="293">
        <f t="shared" si="5"/>
        <v>32809.968666666675</v>
      </c>
      <c r="O61" s="238">
        <f t="shared" si="9"/>
        <v>25834.386882352941</v>
      </c>
      <c r="P61" s="238">
        <f t="shared" si="10"/>
        <v>151394.85900000011</v>
      </c>
      <c r="Q61" s="282"/>
      <c r="R61" s="238">
        <f t="shared" si="11"/>
        <v>32873.130164907474</v>
      </c>
      <c r="S61" s="282"/>
      <c r="T61" s="238">
        <v>110542</v>
      </c>
      <c r="U61" s="318"/>
    </row>
    <row r="62" spans="1:22" hidden="1">
      <c r="B62" s="314">
        <v>504</v>
      </c>
      <c r="C62" s="308" t="s">
        <v>142</v>
      </c>
      <c r="D62" s="308">
        <v>42</v>
      </c>
      <c r="E62" s="309">
        <f>E59</f>
        <v>72000</v>
      </c>
      <c r="F62" s="34">
        <f t="shared" si="13"/>
        <v>75600</v>
      </c>
      <c r="G62" s="34">
        <f t="shared" si="14"/>
        <v>76356</v>
      </c>
      <c r="H62" s="34">
        <f t="shared" si="3"/>
        <v>78646.680000000008</v>
      </c>
      <c r="I62" s="293">
        <f t="shared" si="4"/>
        <v>3303160.5600000005</v>
      </c>
      <c r="J62" s="62"/>
      <c r="K62" s="213">
        <v>15000</v>
      </c>
      <c r="M62" s="293">
        <f t="shared" si="15"/>
        <v>645632.1120000002</v>
      </c>
      <c r="N62" s="293">
        <f t="shared" si="5"/>
        <v>35868.450666666678</v>
      </c>
      <c r="O62" s="238">
        <f t="shared" si="9"/>
        <v>28263.181411764708</v>
      </c>
      <c r="P62" s="238">
        <f t="shared" si="10"/>
        <v>165158.02800000017</v>
      </c>
      <c r="Q62" s="282"/>
      <c r="R62" s="238">
        <f t="shared" si="11"/>
        <v>35805.767250606135</v>
      </c>
      <c r="S62" s="282"/>
      <c r="T62" s="238">
        <v>110542</v>
      </c>
      <c r="U62" s="318"/>
    </row>
    <row r="63" spans="1:22" hidden="1">
      <c r="B63" s="224">
        <v>505</v>
      </c>
      <c r="C63" s="31" t="s">
        <v>142</v>
      </c>
      <c r="D63" s="31">
        <v>42</v>
      </c>
      <c r="E63" s="34">
        <f>E59</f>
        <v>72000</v>
      </c>
      <c r="F63" s="34">
        <f t="shared" si="13"/>
        <v>75600</v>
      </c>
      <c r="G63" s="34">
        <f t="shared" si="14"/>
        <v>76356</v>
      </c>
      <c r="H63" s="34">
        <f t="shared" si="3"/>
        <v>78646.680000000008</v>
      </c>
      <c r="I63" s="293">
        <f t="shared" si="4"/>
        <v>3303160.5600000005</v>
      </c>
      <c r="J63" s="62"/>
      <c r="K63" s="213">
        <v>15000</v>
      </c>
      <c r="M63" s="293">
        <f t="shared" si="15"/>
        <v>645632.1120000002</v>
      </c>
      <c r="N63" s="293">
        <f t="shared" si="5"/>
        <v>35868.450666666678</v>
      </c>
      <c r="O63" s="238">
        <f t="shared" si="9"/>
        <v>28263.181411764708</v>
      </c>
      <c r="P63" s="238">
        <f t="shared" si="10"/>
        <v>165158.02800000017</v>
      </c>
      <c r="Q63" s="282"/>
      <c r="R63" s="238">
        <f t="shared" si="11"/>
        <v>35805.767250606135</v>
      </c>
      <c r="S63" s="282"/>
      <c r="T63" s="238">
        <v>110542</v>
      </c>
      <c r="U63" s="318"/>
    </row>
    <row r="64" spans="1:22">
      <c r="B64" s="224">
        <v>506</v>
      </c>
      <c r="C64" s="31" t="s">
        <v>139</v>
      </c>
      <c r="D64" s="310">
        <v>42</v>
      </c>
      <c r="E64" s="34">
        <f>E61</f>
        <v>66000</v>
      </c>
      <c r="F64" s="34">
        <f t="shared" si="13"/>
        <v>69300</v>
      </c>
      <c r="G64" s="34">
        <f t="shared" si="14"/>
        <v>69993</v>
      </c>
      <c r="H64" s="34">
        <f t="shared" si="3"/>
        <v>72092.790000000008</v>
      </c>
      <c r="I64" s="293">
        <f t="shared" si="4"/>
        <v>3027897.18</v>
      </c>
      <c r="J64" s="62"/>
      <c r="K64" s="213">
        <v>15000</v>
      </c>
      <c r="M64" s="293">
        <f t="shared" si="15"/>
        <v>590579.4360000001</v>
      </c>
      <c r="N64" s="293">
        <f t="shared" si="5"/>
        <v>32809.968666666675</v>
      </c>
      <c r="O64" s="238">
        <f t="shared" si="9"/>
        <v>25834.386882352941</v>
      </c>
      <c r="P64" s="238">
        <f t="shared" si="10"/>
        <v>151394.85900000011</v>
      </c>
      <c r="Q64" s="282"/>
      <c r="R64" s="238">
        <f t="shared" si="11"/>
        <v>32873.130164907474</v>
      </c>
      <c r="S64" s="282"/>
      <c r="T64" s="238">
        <v>110542</v>
      </c>
      <c r="U64" s="318"/>
    </row>
    <row r="65" spans="1:21">
      <c r="B65" s="224">
        <v>507</v>
      </c>
      <c r="C65" s="31" t="s">
        <v>139</v>
      </c>
      <c r="D65" s="310">
        <v>42</v>
      </c>
      <c r="E65" s="34">
        <f>E64</f>
        <v>66000</v>
      </c>
      <c r="F65" s="34">
        <f t="shared" si="13"/>
        <v>69300</v>
      </c>
      <c r="G65" s="34">
        <f t="shared" si="14"/>
        <v>69993</v>
      </c>
      <c r="H65" s="34">
        <f t="shared" si="3"/>
        <v>72092.790000000008</v>
      </c>
      <c r="I65" s="293">
        <f t="shared" si="4"/>
        <v>3027897.18</v>
      </c>
      <c r="J65" s="62"/>
      <c r="K65" s="213">
        <v>15000</v>
      </c>
      <c r="M65" s="293">
        <f t="shared" si="15"/>
        <v>590579.4360000001</v>
      </c>
      <c r="N65" s="293">
        <f t="shared" si="5"/>
        <v>32809.968666666675</v>
      </c>
      <c r="O65" s="238">
        <f t="shared" si="9"/>
        <v>25834.386882352941</v>
      </c>
      <c r="P65" s="238">
        <f t="shared" si="10"/>
        <v>151394.85900000011</v>
      </c>
      <c r="Q65" s="282"/>
      <c r="R65" s="238">
        <f t="shared" si="11"/>
        <v>32873.130164907474</v>
      </c>
      <c r="S65" s="282"/>
      <c r="T65" s="238">
        <v>110542</v>
      </c>
      <c r="U65" s="318"/>
    </row>
    <row r="66" spans="1:21">
      <c r="B66" s="224">
        <v>508</v>
      </c>
      <c r="C66" s="31" t="s">
        <v>191</v>
      </c>
      <c r="D66" s="31">
        <v>42</v>
      </c>
      <c r="E66" s="34">
        <f>'[2]Price per sqm-FF'!C10</f>
        <v>70500</v>
      </c>
      <c r="F66" s="34">
        <f t="shared" si="13"/>
        <v>74025</v>
      </c>
      <c r="G66" s="34">
        <f t="shared" si="14"/>
        <v>74765.25</v>
      </c>
      <c r="H66" s="34">
        <f t="shared" si="3"/>
        <v>77008.207500000004</v>
      </c>
      <c r="I66" s="293">
        <f t="shared" si="4"/>
        <v>3234344.7150000003</v>
      </c>
      <c r="J66" s="62"/>
      <c r="K66" s="213">
        <v>15000</v>
      </c>
      <c r="M66" s="293">
        <f t="shared" si="15"/>
        <v>631868.94300000009</v>
      </c>
      <c r="N66" s="293">
        <f t="shared" si="5"/>
        <v>35103.830166666674</v>
      </c>
      <c r="O66" s="238">
        <f t="shared" si="9"/>
        <v>27655.982779411766</v>
      </c>
      <c r="P66" s="238">
        <f t="shared" si="10"/>
        <v>161717.23575000005</v>
      </c>
      <c r="Q66" s="282"/>
      <c r="R66" s="238">
        <f t="shared" si="11"/>
        <v>35109.880201403685</v>
      </c>
      <c r="S66" s="282"/>
      <c r="T66" s="238">
        <v>117251</v>
      </c>
      <c r="U66" s="318"/>
    </row>
    <row r="67" spans="1:21" ht="12" hidden="1" customHeight="1">
      <c r="B67" s="315">
        <v>601</v>
      </c>
      <c r="C67" s="312" t="s">
        <v>142</v>
      </c>
      <c r="D67" s="312">
        <v>42</v>
      </c>
      <c r="E67" s="313">
        <f>'[2]Price per sqm-FF'!B11</f>
        <v>73000</v>
      </c>
      <c r="F67" s="34">
        <f t="shared" si="13"/>
        <v>76650</v>
      </c>
      <c r="G67" s="34">
        <f t="shared" si="14"/>
        <v>77416.5</v>
      </c>
      <c r="H67" s="34">
        <f t="shared" si="3"/>
        <v>79738.994999999995</v>
      </c>
      <c r="I67" s="293">
        <f t="shared" si="4"/>
        <v>3349037.79</v>
      </c>
      <c r="J67" s="62"/>
      <c r="K67" s="213">
        <v>15000</v>
      </c>
      <c r="M67" s="293">
        <f t="shared" si="15"/>
        <v>654807.55800000008</v>
      </c>
      <c r="N67" s="293">
        <f t="shared" si="5"/>
        <v>36378.197666666674</v>
      </c>
      <c r="O67" s="238">
        <f t="shared" si="9"/>
        <v>28667.980499999998</v>
      </c>
      <c r="P67" s="238">
        <f t="shared" si="10"/>
        <v>167451.88950000011</v>
      </c>
      <c r="Q67" s="282"/>
      <c r="R67" s="238">
        <f t="shared" si="11"/>
        <v>35680.417876000356</v>
      </c>
      <c r="S67" s="282"/>
      <c r="T67" s="238"/>
      <c r="U67" s="318"/>
    </row>
    <row r="68" spans="1:21">
      <c r="B68" s="224">
        <v>602</v>
      </c>
      <c r="C68" s="31" t="s">
        <v>143</v>
      </c>
      <c r="D68" s="31">
        <v>42</v>
      </c>
      <c r="E68" s="34">
        <f>'[2]Price per sqm-FF'!D11</f>
        <v>70000</v>
      </c>
      <c r="F68" s="34">
        <f t="shared" si="13"/>
        <v>73500</v>
      </c>
      <c r="G68" s="34">
        <f t="shared" si="14"/>
        <v>74235</v>
      </c>
      <c r="H68" s="34">
        <f t="shared" si="3"/>
        <v>76462.05</v>
      </c>
      <c r="I68" s="293">
        <f t="shared" si="4"/>
        <v>3211406.1</v>
      </c>
      <c r="J68" s="62"/>
      <c r="K68" s="213">
        <v>15000</v>
      </c>
      <c r="M68" s="293">
        <f t="shared" si="15"/>
        <v>627281.22000000009</v>
      </c>
      <c r="N68" s="293">
        <f t="shared" si="5"/>
        <v>34848.956666666672</v>
      </c>
      <c r="O68" s="238">
        <f t="shared" si="9"/>
        <v>27453.583235294118</v>
      </c>
      <c r="P68" s="238">
        <f t="shared" si="10"/>
        <v>160570.30500000011</v>
      </c>
      <c r="Q68" s="282"/>
      <c r="R68" s="238">
        <f t="shared" si="11"/>
        <v>34861.354888706584</v>
      </c>
      <c r="S68" s="282"/>
      <c r="T68" s="238">
        <v>116506</v>
      </c>
      <c r="U68" s="318"/>
    </row>
    <row r="69" spans="1:21">
      <c r="B69" s="224">
        <v>603</v>
      </c>
      <c r="C69" s="31" t="s">
        <v>139</v>
      </c>
      <c r="D69" s="31">
        <v>42</v>
      </c>
      <c r="E69" s="34">
        <f>'[2]Price per sqm-FF'!F11</f>
        <v>67000</v>
      </c>
      <c r="F69" s="34">
        <f t="shared" si="13"/>
        <v>70350</v>
      </c>
      <c r="G69" s="34">
        <f t="shared" si="14"/>
        <v>71053.5</v>
      </c>
      <c r="H69" s="34">
        <f t="shared" si="3"/>
        <v>73185.104999999996</v>
      </c>
      <c r="I69" s="293">
        <f t="shared" si="4"/>
        <v>3073774.4099999997</v>
      </c>
      <c r="J69" s="62"/>
      <c r="K69" s="213">
        <v>15000</v>
      </c>
      <c r="M69" s="293">
        <f t="shared" si="15"/>
        <v>599754.88199999998</v>
      </c>
      <c r="N69" s="293">
        <f t="shared" si="5"/>
        <v>33319.715666666663</v>
      </c>
      <c r="O69" s="238">
        <f t="shared" si="9"/>
        <v>26239.185970588231</v>
      </c>
      <c r="P69" s="238">
        <f t="shared" si="10"/>
        <v>153688.72050000005</v>
      </c>
      <c r="Q69" s="282"/>
      <c r="R69" s="238">
        <f t="shared" si="11"/>
        <v>33370.186345857241</v>
      </c>
      <c r="S69" s="282"/>
      <c r="T69" s="238">
        <v>112033</v>
      </c>
      <c r="U69" s="318"/>
    </row>
    <row r="70" spans="1:21">
      <c r="B70" s="224">
        <v>604</v>
      </c>
      <c r="C70" s="31" t="s">
        <v>142</v>
      </c>
      <c r="D70" s="31">
        <v>42</v>
      </c>
      <c r="E70" s="34">
        <f>E67</f>
        <v>73000</v>
      </c>
      <c r="F70" s="34">
        <f t="shared" si="13"/>
        <v>76650</v>
      </c>
      <c r="G70" s="34">
        <f t="shared" si="14"/>
        <v>77416.5</v>
      </c>
      <c r="H70" s="34">
        <f t="shared" si="3"/>
        <v>79738.994999999995</v>
      </c>
      <c r="I70" s="293">
        <f t="shared" si="4"/>
        <v>3349037.79</v>
      </c>
      <c r="J70" s="62"/>
      <c r="K70" s="213">
        <v>15000</v>
      </c>
      <c r="M70" s="293">
        <f t="shared" si="15"/>
        <v>654807.55800000008</v>
      </c>
      <c r="N70" s="293">
        <f t="shared" si="5"/>
        <v>36378.197666666674</v>
      </c>
      <c r="O70" s="238">
        <f t="shared" si="9"/>
        <v>28667.980499999998</v>
      </c>
      <c r="P70" s="238">
        <f t="shared" si="10"/>
        <v>167451.88950000011</v>
      </c>
      <c r="Q70" s="282"/>
      <c r="R70" s="238">
        <f t="shared" si="11"/>
        <v>36352.523431555914</v>
      </c>
      <c r="S70" s="282"/>
      <c r="T70" s="238">
        <v>120979</v>
      </c>
      <c r="U70" s="318"/>
    </row>
    <row r="71" spans="1:21" hidden="1">
      <c r="B71" s="224">
        <v>605</v>
      </c>
      <c r="C71" s="31" t="s">
        <v>142</v>
      </c>
      <c r="D71" s="310">
        <v>42</v>
      </c>
      <c r="E71" s="34">
        <f>E67</f>
        <v>73000</v>
      </c>
      <c r="F71" s="34">
        <f t="shared" si="13"/>
        <v>76650</v>
      </c>
      <c r="G71" s="34">
        <f t="shared" si="14"/>
        <v>77416.5</v>
      </c>
      <c r="H71" s="34">
        <f t="shared" si="3"/>
        <v>79738.994999999995</v>
      </c>
      <c r="I71" s="293">
        <f t="shared" si="4"/>
        <v>3349037.79</v>
      </c>
      <c r="J71" s="62"/>
      <c r="K71" s="213">
        <v>15000</v>
      </c>
      <c r="M71" s="293">
        <f t="shared" si="15"/>
        <v>654807.55800000008</v>
      </c>
      <c r="N71" s="293">
        <f t="shared" si="5"/>
        <v>36378.197666666674</v>
      </c>
      <c r="O71" s="238">
        <f t="shared" si="9"/>
        <v>28667.980499999998</v>
      </c>
      <c r="P71" s="238">
        <f t="shared" si="10"/>
        <v>167451.88950000011</v>
      </c>
      <c r="Q71" s="282"/>
      <c r="R71" s="238">
        <f t="shared" si="11"/>
        <v>35680.417876000356</v>
      </c>
      <c r="S71" s="282"/>
      <c r="T71" s="238"/>
      <c r="U71" s="318"/>
    </row>
    <row r="72" spans="1:21">
      <c r="B72" s="224">
        <v>606</v>
      </c>
      <c r="C72" s="31" t="s">
        <v>139</v>
      </c>
      <c r="D72" s="310">
        <v>42</v>
      </c>
      <c r="E72" s="34">
        <f>E69</f>
        <v>67000</v>
      </c>
      <c r="F72" s="34">
        <f t="shared" si="13"/>
        <v>70350</v>
      </c>
      <c r="G72" s="34">
        <f t="shared" si="14"/>
        <v>71053.5</v>
      </c>
      <c r="H72" s="34">
        <f t="shared" si="3"/>
        <v>73185.104999999996</v>
      </c>
      <c r="I72" s="293">
        <f t="shared" si="4"/>
        <v>3073774.4099999997</v>
      </c>
      <c r="J72" s="62"/>
      <c r="K72" s="213">
        <v>15000</v>
      </c>
      <c r="M72" s="293">
        <f t="shared" si="15"/>
        <v>599754.88199999998</v>
      </c>
      <c r="N72" s="293">
        <f t="shared" si="5"/>
        <v>33319.715666666663</v>
      </c>
      <c r="O72" s="238">
        <f t="shared" si="9"/>
        <v>26239.185970588231</v>
      </c>
      <c r="P72" s="238">
        <f t="shared" si="10"/>
        <v>153688.72050000005</v>
      </c>
      <c r="Q72" s="282"/>
      <c r="R72" s="238">
        <f t="shared" si="11"/>
        <v>33370.186345857241</v>
      </c>
      <c r="S72" s="282"/>
      <c r="T72" s="238">
        <f>T69</f>
        <v>112033</v>
      </c>
      <c r="U72" s="318"/>
    </row>
    <row r="73" spans="1:21">
      <c r="B73" s="101">
        <v>607</v>
      </c>
      <c r="C73" s="31" t="s">
        <v>139</v>
      </c>
      <c r="D73" s="310">
        <v>42</v>
      </c>
      <c r="E73" s="34">
        <f>E69</f>
        <v>67000</v>
      </c>
      <c r="F73" s="34">
        <f t="shared" si="13"/>
        <v>70350</v>
      </c>
      <c r="G73" s="34">
        <f t="shared" si="14"/>
        <v>71053.5</v>
      </c>
      <c r="H73" s="34">
        <f t="shared" si="3"/>
        <v>73185.104999999996</v>
      </c>
      <c r="I73" s="291">
        <f t="shared" si="4"/>
        <v>3073774.4099999997</v>
      </c>
      <c r="J73" s="62"/>
      <c r="K73" s="202">
        <v>15000</v>
      </c>
      <c r="M73" s="291">
        <f t="shared" si="15"/>
        <v>599754.88199999998</v>
      </c>
      <c r="N73" s="291">
        <f t="shared" si="5"/>
        <v>33319.715666666663</v>
      </c>
      <c r="O73" s="239">
        <f t="shared" si="9"/>
        <v>26239.185970588231</v>
      </c>
      <c r="P73" s="239">
        <f t="shared" si="10"/>
        <v>153688.72050000005</v>
      </c>
      <c r="Q73" s="282"/>
      <c r="R73" s="239">
        <f t="shared" si="11"/>
        <v>33370.186345857241</v>
      </c>
      <c r="S73" s="282"/>
      <c r="T73" s="239">
        <f>T72</f>
        <v>112033</v>
      </c>
      <c r="U73" s="318"/>
    </row>
    <row r="74" spans="1:21" hidden="1">
      <c r="B74" s="305">
        <v>608</v>
      </c>
      <c r="C74" s="305" t="s">
        <v>191</v>
      </c>
      <c r="D74" s="305">
        <v>42</v>
      </c>
      <c r="E74" s="306">
        <f>'[2]Price per sqm-FF'!C11</f>
        <v>71500</v>
      </c>
      <c r="F74" s="202">
        <f t="shared" si="13"/>
        <v>75075</v>
      </c>
      <c r="G74" s="202">
        <f t="shared" si="14"/>
        <v>75825.75</v>
      </c>
      <c r="H74" s="202">
        <f t="shared" si="3"/>
        <v>78100.522500000006</v>
      </c>
      <c r="I74" s="291">
        <f t="shared" si="4"/>
        <v>3280221.9450000003</v>
      </c>
      <c r="K74" s="202">
        <v>15000</v>
      </c>
      <c r="M74" s="291">
        <f t="shared" si="15"/>
        <v>641044.38900000008</v>
      </c>
      <c r="N74" s="291">
        <f t="shared" ref="N74" si="16">M74/24</f>
        <v>26710.182875000002</v>
      </c>
      <c r="O74" s="239">
        <f t="shared" ref="O74" si="17">(I74*0.15-K74)/23</f>
        <v>20740.577902173914</v>
      </c>
      <c r="P74" s="239">
        <f t="shared" ref="P74" si="18">M74-(O74*23)</f>
        <v>164011.09725000005</v>
      </c>
      <c r="R74" s="239">
        <f t="shared" ref="R74" si="19">PMT(14%/12,180,-I74*0.8)+T74/180</f>
        <v>35858.431367075689</v>
      </c>
      <c r="T74" s="239">
        <f t="shared" ref="T74" si="20">I74*0.05</f>
        <v>164011.09725000002</v>
      </c>
    </row>
    <row r="75" spans="1:21">
      <c r="B75" s="31"/>
      <c r="C75" s="31"/>
      <c r="D75" s="31"/>
      <c r="E75" s="34"/>
      <c r="F75" s="34"/>
      <c r="G75" s="34"/>
      <c r="H75" s="34">
        <f>SUM(H13:H74)</f>
        <v>4436437.3725000024</v>
      </c>
      <c r="I75" s="87"/>
      <c r="K75" s="34"/>
      <c r="M75" s="87"/>
      <c r="N75" s="87"/>
      <c r="O75" s="282"/>
      <c r="P75" s="282"/>
      <c r="R75" s="282"/>
      <c r="T75" s="282"/>
    </row>
    <row r="76" spans="1:21" s="265" customFormat="1" ht="13.5">
      <c r="C76" s="266"/>
      <c r="D76" s="267"/>
      <c r="E76" s="268"/>
      <c r="F76" s="268"/>
      <c r="G76" s="268"/>
      <c r="H76" s="268"/>
      <c r="I76" s="268"/>
      <c r="J76" s="268"/>
      <c r="K76" s="320"/>
      <c r="L76" s="266"/>
      <c r="M76" s="267"/>
      <c r="N76" s="268"/>
      <c r="O76" s="268"/>
      <c r="P76" s="268"/>
      <c r="Q76" s="268"/>
      <c r="R76" s="268"/>
      <c r="S76" s="268"/>
      <c r="T76" s="268"/>
    </row>
    <row r="77" spans="1:21">
      <c r="C77" s="30"/>
      <c r="D77" s="93"/>
      <c r="E77" s="82"/>
      <c r="F77" s="82"/>
      <c r="G77" s="82"/>
      <c r="H77" s="82"/>
      <c r="J77" s="30"/>
      <c r="L77" s="28"/>
      <c r="M77" s="82"/>
      <c r="N77" s="82"/>
    </row>
    <row r="78" spans="1:21">
      <c r="A78" s="270"/>
      <c r="C78" s="30"/>
      <c r="D78" s="93"/>
      <c r="E78" s="82"/>
      <c r="F78" s="82"/>
      <c r="G78" s="82"/>
      <c r="H78" s="82"/>
      <c r="J78" s="30"/>
      <c r="L78" s="28"/>
      <c r="M78" s="82"/>
      <c r="N78" s="82"/>
    </row>
  </sheetData>
  <mergeCells count="23">
    <mergeCell ref="B8:B11"/>
    <mergeCell ref="C8:C11"/>
    <mergeCell ref="D8:D11"/>
    <mergeCell ref="E8:E11"/>
    <mergeCell ref="B7:K7"/>
    <mergeCell ref="B3:M3"/>
    <mergeCell ref="B4:M4"/>
    <mergeCell ref="B5:M5"/>
    <mergeCell ref="B6:M6"/>
    <mergeCell ref="F8:F11"/>
    <mergeCell ref="G8:G11"/>
    <mergeCell ref="I8:I11"/>
    <mergeCell ref="K8:K11"/>
    <mergeCell ref="M8:P8"/>
    <mergeCell ref="H8:H11"/>
    <mergeCell ref="T8:T11"/>
    <mergeCell ref="M9:M11"/>
    <mergeCell ref="O9:P9"/>
    <mergeCell ref="N10:N11"/>
    <mergeCell ref="O10:O11"/>
    <mergeCell ref="P10:P11"/>
    <mergeCell ref="R10:R11"/>
    <mergeCell ref="R8:R9"/>
  </mergeCells>
  <pageMargins left="0.7" right="0.7" top="0.75" bottom="0.75" header="0.3" footer="0.3"/>
  <pageSetup orientation="landscape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2" tint="-0.89999084444715716"/>
  </sheetPr>
  <dimension ref="B3:AE114"/>
  <sheetViews>
    <sheetView zoomScale="90" zoomScaleNormal="90" workbookViewId="0">
      <selection activeCell="L38" sqref="L38"/>
    </sheetView>
  </sheetViews>
  <sheetFormatPr defaultRowHeight="12"/>
  <cols>
    <col min="1" max="1" width="2.140625" style="28" customWidth="1"/>
    <col min="2" max="2" width="7.7109375" style="28" customWidth="1"/>
    <col min="3" max="3" width="9.7109375" style="28" hidden="1" customWidth="1"/>
    <col min="4" max="7" width="9.7109375" style="30" hidden="1" customWidth="1"/>
    <col min="8" max="8" width="12.140625" style="93" customWidth="1"/>
    <col min="9" max="9" width="1" style="82" customWidth="1"/>
    <col min="10" max="10" width="9.140625" style="32" customWidth="1"/>
    <col min="11" max="11" width="0.85546875" style="87" customWidth="1"/>
    <col min="12" max="12" width="11" style="93" bestFit="1" customWidth="1"/>
    <col min="13" max="13" width="11.7109375" style="93" customWidth="1"/>
    <col min="14" max="14" width="10.42578125" style="82" customWidth="1"/>
    <col min="15" max="15" width="11" style="82" customWidth="1"/>
    <col min="16" max="16" width="12" style="82" customWidth="1"/>
    <col min="17" max="17" width="11.42578125" style="82" customWidth="1"/>
    <col min="18" max="18" width="0.85546875" style="82" customWidth="1"/>
    <col min="19" max="19" width="11.85546875" style="82" customWidth="1"/>
    <col min="20" max="20" width="1.140625" style="82" customWidth="1"/>
    <col min="21" max="21" width="11.42578125" style="82" customWidth="1"/>
    <col min="22" max="22" width="9.42578125" style="33" hidden="1" customWidth="1"/>
    <col min="23" max="23" width="6.28515625" style="33" hidden="1" customWidth="1"/>
    <col min="24" max="24" width="11" style="28" hidden="1" customWidth="1"/>
    <col min="25" max="30" width="0" style="28" hidden="1" customWidth="1"/>
    <col min="31" max="31" width="0.5703125" style="28" customWidth="1"/>
    <col min="32" max="32" width="0.7109375" style="28" customWidth="1"/>
    <col min="33" max="16384" width="9.140625" style="28"/>
  </cols>
  <sheetData>
    <row r="3" spans="2:25" s="40" customFormat="1">
      <c r="B3" s="437" t="s">
        <v>319</v>
      </c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325"/>
      <c r="N3" s="326"/>
      <c r="O3" s="326"/>
      <c r="P3" s="321"/>
      <c r="Q3" s="321"/>
      <c r="R3" s="321"/>
      <c r="S3" s="321"/>
      <c r="T3" s="327"/>
      <c r="U3" s="321"/>
      <c r="V3" s="42"/>
      <c r="W3" s="39"/>
    </row>
    <row r="4" spans="2:25" s="40" customFormat="1">
      <c r="B4" s="437" t="s">
        <v>326</v>
      </c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325"/>
      <c r="N4" s="326"/>
      <c r="O4" s="326"/>
      <c r="P4" s="321"/>
      <c r="Q4" s="321"/>
      <c r="R4" s="321"/>
      <c r="S4" s="321"/>
      <c r="T4" s="327"/>
      <c r="U4" s="321"/>
      <c r="V4" s="42"/>
      <c r="W4" s="39"/>
    </row>
    <row r="5" spans="2:25" s="40" customFormat="1">
      <c r="B5" s="437" t="s">
        <v>171</v>
      </c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303"/>
      <c r="O5" s="326"/>
      <c r="P5" s="321"/>
      <c r="Q5" s="321"/>
      <c r="R5" s="321"/>
      <c r="S5" s="321"/>
      <c r="T5" s="327"/>
      <c r="U5" s="321"/>
      <c r="V5" s="42"/>
      <c r="W5" s="39"/>
    </row>
    <row r="6" spans="2:25" s="40" customFormat="1">
      <c r="B6" s="437" t="s">
        <v>247</v>
      </c>
      <c r="C6" s="437"/>
      <c r="D6" s="437"/>
      <c r="E6" s="437"/>
      <c r="F6" s="437"/>
      <c r="G6" s="437"/>
      <c r="H6" s="437"/>
      <c r="I6" s="437"/>
      <c r="J6" s="437"/>
      <c r="K6" s="437"/>
      <c r="L6" s="437"/>
      <c r="M6" s="437"/>
      <c r="N6" s="326"/>
      <c r="O6" s="326"/>
      <c r="P6" s="321"/>
      <c r="Q6" s="321"/>
      <c r="R6" s="321"/>
      <c r="S6" s="321"/>
      <c r="T6" s="327"/>
      <c r="U6" s="321"/>
      <c r="V6" s="42"/>
      <c r="W6" s="39"/>
    </row>
    <row r="8" spans="2:25">
      <c r="B8" s="438" t="s">
        <v>129</v>
      </c>
      <c r="C8" s="431" t="s">
        <v>130</v>
      </c>
      <c r="D8" s="454" t="s">
        <v>131</v>
      </c>
      <c r="E8" s="438" t="s">
        <v>132</v>
      </c>
      <c r="F8" s="438" t="s">
        <v>192</v>
      </c>
      <c r="G8" s="438" t="s">
        <v>193</v>
      </c>
      <c r="H8" s="460" t="s">
        <v>135</v>
      </c>
      <c r="J8" s="441" t="s">
        <v>5</v>
      </c>
      <c r="K8" s="83"/>
      <c r="L8" s="458" t="s">
        <v>64</v>
      </c>
      <c r="M8" s="458"/>
      <c r="N8" s="458"/>
      <c r="O8" s="458"/>
      <c r="P8" s="328"/>
      <c r="Q8" s="329"/>
      <c r="R8" s="286"/>
      <c r="S8" s="427" t="s">
        <v>65</v>
      </c>
      <c r="T8" s="286"/>
      <c r="U8" s="457" t="s">
        <v>306</v>
      </c>
      <c r="V8" s="99"/>
    </row>
    <row r="9" spans="2:25">
      <c r="B9" s="438"/>
      <c r="C9" s="432"/>
      <c r="D9" s="454"/>
      <c r="E9" s="438"/>
      <c r="F9" s="438"/>
      <c r="G9" s="438"/>
      <c r="H9" s="460"/>
      <c r="J9" s="443"/>
      <c r="K9" s="83"/>
      <c r="L9" s="427" t="s">
        <v>67</v>
      </c>
      <c r="M9" s="44">
        <v>1</v>
      </c>
      <c r="N9" s="465">
        <v>2</v>
      </c>
      <c r="O9" s="465"/>
      <c r="P9" s="465">
        <v>3</v>
      </c>
      <c r="Q9" s="465"/>
      <c r="R9" s="286"/>
      <c r="S9" s="427"/>
      <c r="T9" s="286"/>
      <c r="U9" s="457"/>
      <c r="V9" s="100"/>
    </row>
    <row r="10" spans="2:25" s="40" customFormat="1">
      <c r="B10" s="438"/>
      <c r="C10" s="432"/>
      <c r="D10" s="454"/>
      <c r="E10" s="438"/>
      <c r="F10" s="438"/>
      <c r="G10" s="438"/>
      <c r="H10" s="460"/>
      <c r="I10" s="321"/>
      <c r="J10" s="443"/>
      <c r="K10" s="319"/>
      <c r="L10" s="427"/>
      <c r="M10" s="458" t="s">
        <v>323</v>
      </c>
      <c r="N10" s="428" t="s">
        <v>324</v>
      </c>
      <c r="O10" s="428" t="s">
        <v>159</v>
      </c>
      <c r="P10" s="428" t="s">
        <v>327</v>
      </c>
      <c r="Q10" s="428" t="s">
        <v>328</v>
      </c>
      <c r="R10" s="319"/>
      <c r="S10" s="428" t="s">
        <v>325</v>
      </c>
      <c r="T10" s="286"/>
      <c r="U10" s="457"/>
      <c r="V10" s="322"/>
      <c r="W10" s="39"/>
    </row>
    <row r="11" spans="2:25" s="40" customFormat="1" ht="38.25" customHeight="1">
      <c r="B11" s="431"/>
      <c r="C11" s="432"/>
      <c r="D11" s="455"/>
      <c r="E11" s="431"/>
      <c r="F11" s="431"/>
      <c r="G11" s="431"/>
      <c r="H11" s="461"/>
      <c r="I11" s="321"/>
      <c r="J11" s="443"/>
      <c r="K11" s="319"/>
      <c r="L11" s="379"/>
      <c r="M11" s="428"/>
      <c r="N11" s="429"/>
      <c r="O11" s="429"/>
      <c r="P11" s="429"/>
      <c r="Q11" s="429"/>
      <c r="R11" s="321"/>
      <c r="S11" s="429"/>
      <c r="T11" s="321"/>
      <c r="U11" s="434"/>
      <c r="V11" s="323"/>
      <c r="W11" s="39"/>
      <c r="Y11" s="324"/>
    </row>
    <row r="12" spans="2:25" s="40" customFormat="1" ht="13.5" customHeight="1">
      <c r="B12" s="175"/>
      <c r="C12" s="176"/>
      <c r="D12" s="176"/>
      <c r="E12" s="176"/>
      <c r="F12" s="176"/>
      <c r="G12" s="176"/>
      <c r="H12" s="157"/>
      <c r="I12" s="321"/>
      <c r="J12" s="152"/>
      <c r="K12" s="319"/>
      <c r="L12" s="332"/>
      <c r="M12" s="335"/>
      <c r="N12" s="333"/>
      <c r="O12" s="335"/>
      <c r="P12" s="335"/>
      <c r="Q12" s="334"/>
      <c r="R12" s="321"/>
      <c r="S12" s="335"/>
      <c r="T12" s="321"/>
      <c r="U12" s="317"/>
      <c r="V12" s="323"/>
      <c r="W12" s="39"/>
      <c r="Y12" s="324"/>
    </row>
    <row r="13" spans="2:25" ht="12" customHeight="1">
      <c r="B13" s="330" t="s">
        <v>179</v>
      </c>
      <c r="C13" s="31" t="s">
        <v>137</v>
      </c>
      <c r="D13" s="31">
        <v>28</v>
      </c>
      <c r="E13" s="34">
        <v>62500</v>
      </c>
      <c r="F13" s="34">
        <f t="shared" ref="F13:F44" si="0">E13*1.05</f>
        <v>65625</v>
      </c>
      <c r="G13" s="34">
        <f t="shared" ref="G13:G44" si="1">F13*1.02</f>
        <v>66937.5</v>
      </c>
      <c r="H13" s="293">
        <f>G13*D13</f>
        <v>1874250</v>
      </c>
      <c r="J13" s="213">
        <v>15000</v>
      </c>
      <c r="L13" s="295">
        <f>H13*0.2-J13</f>
        <v>359850</v>
      </c>
      <c r="M13" s="293">
        <f>L13/18</f>
        <v>19991.666666666668</v>
      </c>
      <c r="N13" s="282">
        <f>(H13*0.15-J13)/17</f>
        <v>15655.14705882353</v>
      </c>
      <c r="O13" s="238">
        <f>L13-(N13*17)</f>
        <v>93712.5</v>
      </c>
      <c r="P13" s="238">
        <f>(H13*0.1-J13)/3</f>
        <v>57475</v>
      </c>
      <c r="Q13" s="301">
        <f>H13*0.1/15</f>
        <v>12495</v>
      </c>
      <c r="S13" s="238">
        <f>PMT(14%/12,180,-H13*0.8)+U13/180</f>
        <v>20373.952592018271</v>
      </c>
      <c r="U13" s="238">
        <v>73048</v>
      </c>
      <c r="V13" s="336">
        <f t="shared" ref="V13:V44" si="2">U13/180</f>
        <v>405.82222222222219</v>
      </c>
      <c r="X13" s="49"/>
    </row>
    <row r="14" spans="2:25">
      <c r="B14" s="330" t="s">
        <v>180</v>
      </c>
      <c r="C14" s="31" t="s">
        <v>137</v>
      </c>
      <c r="D14" s="31">
        <v>28</v>
      </c>
      <c r="E14" s="34">
        <v>62500</v>
      </c>
      <c r="F14" s="34">
        <f t="shared" si="0"/>
        <v>65625</v>
      </c>
      <c r="G14" s="34">
        <f t="shared" si="1"/>
        <v>66937.5</v>
      </c>
      <c r="H14" s="293">
        <f t="shared" ref="H14:H44" si="3">G14*D14</f>
        <v>1874250</v>
      </c>
      <c r="J14" s="213">
        <v>15000</v>
      </c>
      <c r="L14" s="295">
        <f t="shared" ref="L14:L35" si="4">H14*0.2-J14</f>
        <v>359850</v>
      </c>
      <c r="M14" s="293">
        <f t="shared" ref="M14:M77" si="5">L14/18</f>
        <v>19991.666666666668</v>
      </c>
      <c r="N14" s="282">
        <f t="shared" ref="N14:N35" si="6">(H14*0.15-J14)/17</f>
        <v>15655.14705882353</v>
      </c>
      <c r="O14" s="238">
        <f t="shared" ref="O14:O35" si="7">L14-(N14*17)</f>
        <v>93712.5</v>
      </c>
      <c r="P14" s="238">
        <f t="shared" ref="P14:P35" si="8">(H14*0.1-J14)/3</f>
        <v>57475</v>
      </c>
      <c r="Q14" s="301">
        <f t="shared" ref="Q14:Q35" si="9">H14*0.1/15</f>
        <v>12495</v>
      </c>
      <c r="S14" s="238">
        <f t="shared" ref="S14:S35" si="10">PMT(14%/12,180,-H14*0.8)+U14/180</f>
        <v>20373.952592018271</v>
      </c>
      <c r="U14" s="238">
        <f>U13</f>
        <v>73048</v>
      </c>
      <c r="V14" s="336">
        <f t="shared" si="2"/>
        <v>405.82222222222219</v>
      </c>
      <c r="X14" s="49"/>
    </row>
    <row r="15" spans="2:25">
      <c r="B15" s="330" t="s">
        <v>181</v>
      </c>
      <c r="C15" s="31" t="s">
        <v>143</v>
      </c>
      <c r="D15" s="31">
        <v>28</v>
      </c>
      <c r="E15" s="34">
        <v>63000</v>
      </c>
      <c r="F15" s="34">
        <f t="shared" si="0"/>
        <v>66150</v>
      </c>
      <c r="G15" s="34">
        <f t="shared" si="1"/>
        <v>67473</v>
      </c>
      <c r="H15" s="293">
        <f t="shared" si="3"/>
        <v>1889244</v>
      </c>
      <c r="J15" s="213">
        <v>15000</v>
      </c>
      <c r="L15" s="295">
        <f t="shared" si="4"/>
        <v>362848.80000000005</v>
      </c>
      <c r="M15" s="293">
        <f t="shared" si="5"/>
        <v>20158.26666666667</v>
      </c>
      <c r="N15" s="282">
        <f t="shared" si="6"/>
        <v>15787.447058823527</v>
      </c>
      <c r="O15" s="238">
        <f t="shared" si="7"/>
        <v>94462.20000000007</v>
      </c>
      <c r="P15" s="238">
        <f t="shared" si="8"/>
        <v>57974.80000000001</v>
      </c>
      <c r="Q15" s="301">
        <f t="shared" si="9"/>
        <v>12594.960000000001</v>
      </c>
      <c r="S15" s="238">
        <f t="shared" si="10"/>
        <v>20536.403190532201</v>
      </c>
      <c r="U15" s="238">
        <v>73535</v>
      </c>
      <c r="V15" s="336">
        <f t="shared" si="2"/>
        <v>408.52777777777777</v>
      </c>
      <c r="X15" s="49"/>
    </row>
    <row r="16" spans="2:25">
      <c r="B16" s="330" t="s">
        <v>182</v>
      </c>
      <c r="C16" s="31" t="s">
        <v>143</v>
      </c>
      <c r="D16" s="31">
        <v>28</v>
      </c>
      <c r="E16" s="34">
        <v>63000</v>
      </c>
      <c r="F16" s="34">
        <f t="shared" si="0"/>
        <v>66150</v>
      </c>
      <c r="G16" s="34">
        <f t="shared" si="1"/>
        <v>67473</v>
      </c>
      <c r="H16" s="293">
        <f t="shared" si="3"/>
        <v>1889244</v>
      </c>
      <c r="J16" s="213">
        <v>15000</v>
      </c>
      <c r="L16" s="295">
        <f t="shared" si="4"/>
        <v>362848.80000000005</v>
      </c>
      <c r="M16" s="293">
        <f t="shared" si="5"/>
        <v>20158.26666666667</v>
      </c>
      <c r="N16" s="282">
        <f t="shared" si="6"/>
        <v>15787.447058823527</v>
      </c>
      <c r="O16" s="238">
        <f t="shared" si="7"/>
        <v>94462.20000000007</v>
      </c>
      <c r="P16" s="238">
        <f t="shared" si="8"/>
        <v>57974.80000000001</v>
      </c>
      <c r="Q16" s="301">
        <f t="shared" si="9"/>
        <v>12594.960000000001</v>
      </c>
      <c r="S16" s="238">
        <f t="shared" si="10"/>
        <v>20536.403190532201</v>
      </c>
      <c r="U16" s="238">
        <v>73535</v>
      </c>
      <c r="V16" s="336">
        <f t="shared" si="2"/>
        <v>408.52777777777777</v>
      </c>
      <c r="X16" s="49"/>
    </row>
    <row r="17" spans="2:31">
      <c r="B17" s="330" t="s">
        <v>183</v>
      </c>
      <c r="C17" s="31" t="s">
        <v>139</v>
      </c>
      <c r="D17" s="31">
        <v>28</v>
      </c>
      <c r="E17" s="34">
        <v>61000</v>
      </c>
      <c r="F17" s="34">
        <f t="shared" si="0"/>
        <v>64050</v>
      </c>
      <c r="G17" s="34">
        <f t="shared" si="1"/>
        <v>65331</v>
      </c>
      <c r="H17" s="293">
        <f t="shared" si="3"/>
        <v>1829268</v>
      </c>
      <c r="J17" s="213">
        <v>15000</v>
      </c>
      <c r="L17" s="295">
        <f t="shared" si="4"/>
        <v>350853.60000000003</v>
      </c>
      <c r="M17" s="293">
        <f t="shared" si="5"/>
        <v>19491.866666666669</v>
      </c>
      <c r="N17" s="282">
        <f t="shared" si="6"/>
        <v>15258.24705882353</v>
      </c>
      <c r="O17" s="238">
        <f t="shared" si="7"/>
        <v>91463.400000000023</v>
      </c>
      <c r="P17" s="238">
        <f t="shared" si="8"/>
        <v>55975.600000000006</v>
      </c>
      <c r="Q17" s="301">
        <f t="shared" si="9"/>
        <v>12195.12</v>
      </c>
      <c r="S17" s="238">
        <f t="shared" si="10"/>
        <v>19886.595240920949</v>
      </c>
      <c r="U17" s="238">
        <v>71586</v>
      </c>
      <c r="V17" s="336">
        <f t="shared" si="2"/>
        <v>397.7</v>
      </c>
      <c r="X17" s="49"/>
    </row>
    <row r="18" spans="2:31">
      <c r="B18" s="330" t="s">
        <v>165</v>
      </c>
      <c r="C18" s="31" t="s">
        <v>139</v>
      </c>
      <c r="D18" s="31">
        <v>28</v>
      </c>
      <c r="E18" s="34">
        <f>E17</f>
        <v>61000</v>
      </c>
      <c r="F18" s="34">
        <f t="shared" si="0"/>
        <v>64050</v>
      </c>
      <c r="G18" s="34">
        <f t="shared" si="1"/>
        <v>65331</v>
      </c>
      <c r="H18" s="293">
        <f t="shared" si="3"/>
        <v>1829268</v>
      </c>
      <c r="J18" s="213">
        <v>15000</v>
      </c>
      <c r="L18" s="295">
        <f t="shared" si="4"/>
        <v>350853.60000000003</v>
      </c>
      <c r="M18" s="293">
        <f t="shared" si="5"/>
        <v>19491.866666666669</v>
      </c>
      <c r="N18" s="282">
        <f t="shared" si="6"/>
        <v>15258.24705882353</v>
      </c>
      <c r="O18" s="238">
        <f t="shared" si="7"/>
        <v>91463.400000000023</v>
      </c>
      <c r="P18" s="238">
        <f t="shared" si="8"/>
        <v>55975.600000000006</v>
      </c>
      <c r="Q18" s="301">
        <f t="shared" si="9"/>
        <v>12195.12</v>
      </c>
      <c r="S18" s="238">
        <f t="shared" si="10"/>
        <v>19886.595240920949</v>
      </c>
      <c r="U18" s="238">
        <f>U17</f>
        <v>71586</v>
      </c>
      <c r="V18" s="336">
        <f t="shared" si="2"/>
        <v>397.7</v>
      </c>
      <c r="X18" s="49"/>
    </row>
    <row r="19" spans="2:31" ht="12" hidden="1" customHeight="1">
      <c r="B19" s="330" t="s">
        <v>166</v>
      </c>
      <c r="C19" s="31"/>
      <c r="D19" s="31">
        <v>44.03</v>
      </c>
      <c r="E19" s="34"/>
      <c r="F19" s="34">
        <f t="shared" si="0"/>
        <v>0</v>
      </c>
      <c r="G19" s="34">
        <f t="shared" si="1"/>
        <v>0</v>
      </c>
      <c r="H19" s="293">
        <f t="shared" si="3"/>
        <v>0</v>
      </c>
      <c r="J19" s="213">
        <v>15000</v>
      </c>
      <c r="L19" s="295">
        <f t="shared" si="4"/>
        <v>-15000</v>
      </c>
      <c r="M19" s="293">
        <f t="shared" si="5"/>
        <v>-833.33333333333337</v>
      </c>
      <c r="N19" s="282">
        <f t="shared" si="6"/>
        <v>-882.35294117647061</v>
      </c>
      <c r="O19" s="238">
        <f t="shared" si="7"/>
        <v>0</v>
      </c>
      <c r="P19" s="238">
        <f t="shared" si="8"/>
        <v>-5000</v>
      </c>
      <c r="Q19" s="301">
        <f t="shared" si="9"/>
        <v>0</v>
      </c>
      <c r="S19" s="238">
        <f t="shared" si="10"/>
        <v>0</v>
      </c>
      <c r="U19" s="238">
        <f t="shared" ref="U19:U25" si="11">H19*0.05</f>
        <v>0</v>
      </c>
      <c r="V19" s="336">
        <f t="shared" si="2"/>
        <v>0</v>
      </c>
      <c r="X19" s="49"/>
    </row>
    <row r="20" spans="2:31" ht="12" hidden="1" customHeight="1">
      <c r="B20" s="330" t="s">
        <v>136</v>
      </c>
      <c r="C20" s="31" t="s">
        <v>137</v>
      </c>
      <c r="D20" s="31">
        <v>28</v>
      </c>
      <c r="E20" s="34">
        <v>63500</v>
      </c>
      <c r="F20" s="34">
        <f t="shared" si="0"/>
        <v>66675</v>
      </c>
      <c r="G20" s="34">
        <f t="shared" si="1"/>
        <v>68008.5</v>
      </c>
      <c r="H20" s="293">
        <f t="shared" si="3"/>
        <v>1904238</v>
      </c>
      <c r="J20" s="213">
        <v>15000</v>
      </c>
      <c r="L20" s="295">
        <f t="shared" si="4"/>
        <v>365847.60000000003</v>
      </c>
      <c r="M20" s="293">
        <f t="shared" si="5"/>
        <v>20324.866666666669</v>
      </c>
      <c r="N20" s="282">
        <f t="shared" si="6"/>
        <v>15919.74705882353</v>
      </c>
      <c r="O20" s="238">
        <f t="shared" si="7"/>
        <v>95211.900000000023</v>
      </c>
      <c r="P20" s="238">
        <f t="shared" si="8"/>
        <v>58474.600000000006</v>
      </c>
      <c r="Q20" s="301">
        <f t="shared" si="9"/>
        <v>12694.920000000002</v>
      </c>
      <c r="S20" s="238">
        <f t="shared" si="10"/>
        <v>20816.575455712795</v>
      </c>
      <c r="U20" s="238">
        <f t="shared" si="11"/>
        <v>95211.900000000009</v>
      </c>
      <c r="V20" s="336">
        <f t="shared" si="2"/>
        <v>528.95500000000004</v>
      </c>
      <c r="X20" s="49"/>
    </row>
    <row r="21" spans="2:31" ht="12" hidden="1" customHeight="1">
      <c r="B21" s="330" t="s">
        <v>138</v>
      </c>
      <c r="C21" s="31" t="s">
        <v>137</v>
      </c>
      <c r="D21" s="31">
        <v>28</v>
      </c>
      <c r="E21" s="34">
        <v>63500</v>
      </c>
      <c r="F21" s="34">
        <f t="shared" si="0"/>
        <v>66675</v>
      </c>
      <c r="G21" s="34">
        <f t="shared" si="1"/>
        <v>68008.5</v>
      </c>
      <c r="H21" s="293">
        <f t="shared" si="3"/>
        <v>1904238</v>
      </c>
      <c r="J21" s="213">
        <v>15000</v>
      </c>
      <c r="L21" s="295">
        <f t="shared" si="4"/>
        <v>365847.60000000003</v>
      </c>
      <c r="M21" s="293">
        <f t="shared" si="5"/>
        <v>20324.866666666669</v>
      </c>
      <c r="N21" s="282">
        <f t="shared" si="6"/>
        <v>15919.74705882353</v>
      </c>
      <c r="O21" s="238">
        <f t="shared" si="7"/>
        <v>95211.900000000023</v>
      </c>
      <c r="P21" s="238">
        <f t="shared" si="8"/>
        <v>58474.600000000006</v>
      </c>
      <c r="Q21" s="301">
        <f t="shared" si="9"/>
        <v>12694.920000000002</v>
      </c>
      <c r="S21" s="238">
        <f t="shared" si="10"/>
        <v>20816.575455712795</v>
      </c>
      <c r="U21" s="238">
        <f t="shared" si="11"/>
        <v>95211.900000000009</v>
      </c>
      <c r="V21" s="336">
        <f t="shared" si="2"/>
        <v>528.95500000000004</v>
      </c>
      <c r="X21" s="49"/>
    </row>
    <row r="22" spans="2:31" ht="12" hidden="1" customHeight="1">
      <c r="B22" s="330" t="s">
        <v>184</v>
      </c>
      <c r="C22" s="31" t="s">
        <v>143</v>
      </c>
      <c r="D22" s="31">
        <v>28</v>
      </c>
      <c r="E22" s="34">
        <v>64000</v>
      </c>
      <c r="F22" s="34">
        <f t="shared" si="0"/>
        <v>67200</v>
      </c>
      <c r="G22" s="34">
        <f t="shared" si="1"/>
        <v>68544</v>
      </c>
      <c r="H22" s="293">
        <f t="shared" si="3"/>
        <v>1919232</v>
      </c>
      <c r="J22" s="213">
        <v>15000</v>
      </c>
      <c r="L22" s="295">
        <f t="shared" si="4"/>
        <v>368846.4</v>
      </c>
      <c r="M22" s="293">
        <f t="shared" si="5"/>
        <v>20491.466666666667</v>
      </c>
      <c r="N22" s="282">
        <f t="shared" si="6"/>
        <v>16052.047058823529</v>
      </c>
      <c r="O22" s="238">
        <f t="shared" si="7"/>
        <v>95961.600000000035</v>
      </c>
      <c r="P22" s="238">
        <f t="shared" si="8"/>
        <v>58974.400000000001</v>
      </c>
      <c r="Q22" s="301">
        <f t="shared" si="9"/>
        <v>12794.880000000001</v>
      </c>
      <c r="S22" s="238">
        <f t="shared" si="10"/>
        <v>20980.485498671158</v>
      </c>
      <c r="U22" s="238">
        <f t="shared" si="11"/>
        <v>95961.600000000006</v>
      </c>
      <c r="V22" s="336">
        <f t="shared" si="2"/>
        <v>533.12</v>
      </c>
      <c r="X22" s="49"/>
    </row>
    <row r="23" spans="2:31" ht="12" hidden="1" customHeight="1">
      <c r="B23" s="330" t="s">
        <v>185</v>
      </c>
      <c r="C23" s="31" t="s">
        <v>143</v>
      </c>
      <c r="D23" s="31">
        <v>28</v>
      </c>
      <c r="E23" s="34">
        <v>64000</v>
      </c>
      <c r="F23" s="34">
        <f t="shared" si="0"/>
        <v>67200</v>
      </c>
      <c r="G23" s="34">
        <f t="shared" si="1"/>
        <v>68544</v>
      </c>
      <c r="H23" s="293">
        <f t="shared" si="3"/>
        <v>1919232</v>
      </c>
      <c r="J23" s="213">
        <v>15000</v>
      </c>
      <c r="L23" s="295">
        <f t="shared" si="4"/>
        <v>368846.4</v>
      </c>
      <c r="M23" s="293">
        <f t="shared" si="5"/>
        <v>20491.466666666667</v>
      </c>
      <c r="N23" s="282">
        <f t="shared" si="6"/>
        <v>16052.047058823529</v>
      </c>
      <c r="O23" s="238">
        <f t="shared" si="7"/>
        <v>95961.600000000035</v>
      </c>
      <c r="P23" s="238">
        <f t="shared" si="8"/>
        <v>58974.400000000001</v>
      </c>
      <c r="Q23" s="301">
        <f t="shared" si="9"/>
        <v>12794.880000000001</v>
      </c>
      <c r="S23" s="238">
        <f t="shared" si="10"/>
        <v>20980.485498671158</v>
      </c>
      <c r="U23" s="238">
        <f t="shared" si="11"/>
        <v>95961.600000000006</v>
      </c>
      <c r="V23" s="336">
        <f t="shared" si="2"/>
        <v>533.12</v>
      </c>
      <c r="X23" s="49"/>
    </row>
    <row r="24" spans="2:31" ht="12" hidden="1" customHeight="1">
      <c r="B24" s="330" t="s">
        <v>186</v>
      </c>
      <c r="C24" s="31" t="s">
        <v>143</v>
      </c>
      <c r="D24" s="31">
        <v>28</v>
      </c>
      <c r="E24" s="34">
        <v>64000</v>
      </c>
      <c r="F24" s="34">
        <f t="shared" si="0"/>
        <v>67200</v>
      </c>
      <c r="G24" s="34">
        <f t="shared" si="1"/>
        <v>68544</v>
      </c>
      <c r="H24" s="293">
        <f t="shared" si="3"/>
        <v>1919232</v>
      </c>
      <c r="J24" s="213">
        <v>15000</v>
      </c>
      <c r="L24" s="295">
        <f t="shared" si="4"/>
        <v>368846.4</v>
      </c>
      <c r="M24" s="293">
        <f t="shared" si="5"/>
        <v>20491.466666666667</v>
      </c>
      <c r="N24" s="282">
        <f t="shared" si="6"/>
        <v>16052.047058823529</v>
      </c>
      <c r="O24" s="238">
        <f t="shared" si="7"/>
        <v>95961.600000000035</v>
      </c>
      <c r="P24" s="238">
        <f t="shared" si="8"/>
        <v>58974.400000000001</v>
      </c>
      <c r="Q24" s="301">
        <f t="shared" si="9"/>
        <v>12794.880000000001</v>
      </c>
      <c r="S24" s="238">
        <f t="shared" si="10"/>
        <v>20980.485498671158</v>
      </c>
      <c r="U24" s="238">
        <f t="shared" si="11"/>
        <v>95961.600000000006</v>
      </c>
      <c r="V24" s="336">
        <f t="shared" si="2"/>
        <v>533.12</v>
      </c>
      <c r="X24" s="49"/>
    </row>
    <row r="25" spans="2:31" ht="12" hidden="1" customHeight="1">
      <c r="B25" s="330" t="s">
        <v>187</v>
      </c>
      <c r="C25" s="31" t="s">
        <v>143</v>
      </c>
      <c r="D25" s="31">
        <v>28</v>
      </c>
      <c r="E25" s="34">
        <v>64000</v>
      </c>
      <c r="F25" s="34">
        <f t="shared" si="0"/>
        <v>67200</v>
      </c>
      <c r="G25" s="34">
        <f t="shared" si="1"/>
        <v>68544</v>
      </c>
      <c r="H25" s="293">
        <f t="shared" si="3"/>
        <v>1919232</v>
      </c>
      <c r="J25" s="213">
        <v>15000</v>
      </c>
      <c r="L25" s="295">
        <f t="shared" si="4"/>
        <v>368846.4</v>
      </c>
      <c r="M25" s="293">
        <f t="shared" si="5"/>
        <v>20491.466666666667</v>
      </c>
      <c r="N25" s="282">
        <f t="shared" si="6"/>
        <v>16052.047058823529</v>
      </c>
      <c r="O25" s="238">
        <f t="shared" si="7"/>
        <v>95961.600000000035</v>
      </c>
      <c r="P25" s="238">
        <f t="shared" si="8"/>
        <v>58974.400000000001</v>
      </c>
      <c r="Q25" s="301">
        <f t="shared" si="9"/>
        <v>12794.880000000001</v>
      </c>
      <c r="S25" s="238">
        <f t="shared" si="10"/>
        <v>20980.485498671158</v>
      </c>
      <c r="U25" s="238">
        <f t="shared" si="11"/>
        <v>95961.600000000006</v>
      </c>
      <c r="V25" s="336">
        <f t="shared" si="2"/>
        <v>533.12</v>
      </c>
      <c r="X25" s="49"/>
    </row>
    <row r="26" spans="2:31" ht="12.75">
      <c r="B26" s="330" t="s">
        <v>188</v>
      </c>
      <c r="C26" s="31" t="s">
        <v>139</v>
      </c>
      <c r="D26" s="31">
        <v>28</v>
      </c>
      <c r="E26" s="34">
        <v>62000</v>
      </c>
      <c r="F26" s="34">
        <f t="shared" si="0"/>
        <v>65100</v>
      </c>
      <c r="G26" s="34">
        <f t="shared" si="1"/>
        <v>66402</v>
      </c>
      <c r="H26" s="293">
        <f t="shared" si="3"/>
        <v>1859256</v>
      </c>
      <c r="J26" s="213">
        <v>15000</v>
      </c>
      <c r="L26" s="295">
        <f t="shared" si="4"/>
        <v>356851.20000000001</v>
      </c>
      <c r="M26" s="293">
        <f t="shared" si="5"/>
        <v>19825.066666666666</v>
      </c>
      <c r="N26" s="282">
        <f t="shared" si="6"/>
        <v>15522.847058823527</v>
      </c>
      <c r="O26" s="238">
        <f t="shared" si="7"/>
        <v>92962.800000000047</v>
      </c>
      <c r="P26" s="238">
        <f t="shared" si="8"/>
        <v>56975.200000000004</v>
      </c>
      <c r="Q26" s="301">
        <f t="shared" si="9"/>
        <v>12395.04</v>
      </c>
      <c r="S26" s="238">
        <f t="shared" si="10"/>
        <v>20211.501993504349</v>
      </c>
      <c r="U26" s="238">
        <v>72561</v>
      </c>
      <c r="V26" s="336">
        <f t="shared" si="2"/>
        <v>403.11666666666667</v>
      </c>
      <c r="X26" s="159" t="s">
        <v>274</v>
      </c>
      <c r="Y26" s="160"/>
      <c r="Z26" s="160"/>
      <c r="AA26" s="160"/>
      <c r="AB26" s="161"/>
      <c r="AC26" s="160"/>
      <c r="AD26" s="232"/>
      <c r="AE26" s="232"/>
    </row>
    <row r="27" spans="2:31" ht="12.75">
      <c r="B27" s="330" t="s">
        <v>189</v>
      </c>
      <c r="C27" s="31" t="s">
        <v>139</v>
      </c>
      <c r="D27" s="31">
        <v>28</v>
      </c>
      <c r="E27" s="34">
        <v>62000</v>
      </c>
      <c r="F27" s="34">
        <f t="shared" si="0"/>
        <v>65100</v>
      </c>
      <c r="G27" s="34">
        <f t="shared" si="1"/>
        <v>66402</v>
      </c>
      <c r="H27" s="293">
        <f t="shared" si="3"/>
        <v>1859256</v>
      </c>
      <c r="J27" s="213">
        <v>15000</v>
      </c>
      <c r="L27" s="295">
        <f t="shared" si="4"/>
        <v>356851.20000000001</v>
      </c>
      <c r="M27" s="293">
        <f t="shared" si="5"/>
        <v>19825.066666666666</v>
      </c>
      <c r="N27" s="282">
        <f t="shared" si="6"/>
        <v>15522.847058823527</v>
      </c>
      <c r="O27" s="238">
        <f t="shared" si="7"/>
        <v>92962.800000000047</v>
      </c>
      <c r="P27" s="238">
        <f t="shared" si="8"/>
        <v>56975.200000000004</v>
      </c>
      <c r="Q27" s="301">
        <f t="shared" si="9"/>
        <v>12395.04</v>
      </c>
      <c r="S27" s="238">
        <f t="shared" si="10"/>
        <v>20211.501993504349</v>
      </c>
      <c r="U27" s="238">
        <v>72561</v>
      </c>
      <c r="V27" s="336">
        <f t="shared" si="2"/>
        <v>403.11666666666667</v>
      </c>
      <c r="X27" s="378" t="s">
        <v>251</v>
      </c>
      <c r="Y27" s="378"/>
      <c r="Z27" s="165" t="s">
        <v>252</v>
      </c>
      <c r="AA27" s="165" t="s">
        <v>253</v>
      </c>
      <c r="AB27" s="166" t="s">
        <v>254</v>
      </c>
      <c r="AC27" s="167"/>
      <c r="AD27" s="232" t="s">
        <v>305</v>
      </c>
      <c r="AE27" s="225">
        <f>H96</f>
        <v>2039184</v>
      </c>
    </row>
    <row r="28" spans="2:31" ht="12.75">
      <c r="B28" s="330" t="s">
        <v>190</v>
      </c>
      <c r="C28" s="31" t="s">
        <v>139</v>
      </c>
      <c r="D28" s="31">
        <v>28</v>
      </c>
      <c r="E28" s="34">
        <v>62000</v>
      </c>
      <c r="F28" s="34">
        <f t="shared" si="0"/>
        <v>65100</v>
      </c>
      <c r="G28" s="34">
        <f t="shared" si="1"/>
        <v>66402</v>
      </c>
      <c r="H28" s="293">
        <f t="shared" si="3"/>
        <v>1859256</v>
      </c>
      <c r="J28" s="213">
        <v>15000</v>
      </c>
      <c r="L28" s="295">
        <f t="shared" si="4"/>
        <v>356851.20000000001</v>
      </c>
      <c r="M28" s="293">
        <f t="shared" si="5"/>
        <v>19825.066666666666</v>
      </c>
      <c r="N28" s="282">
        <f t="shared" si="6"/>
        <v>15522.847058823527</v>
      </c>
      <c r="O28" s="238">
        <f t="shared" si="7"/>
        <v>92962.800000000047</v>
      </c>
      <c r="P28" s="238">
        <f t="shared" si="8"/>
        <v>56975.200000000004</v>
      </c>
      <c r="Q28" s="301">
        <f t="shared" si="9"/>
        <v>12395.04</v>
      </c>
      <c r="S28" s="238">
        <f t="shared" si="10"/>
        <v>20211.501993504349</v>
      </c>
      <c r="U28" s="238">
        <v>72561</v>
      </c>
      <c r="V28" s="336">
        <f t="shared" si="2"/>
        <v>403.11666666666667</v>
      </c>
      <c r="X28" s="168" t="s">
        <v>275</v>
      </c>
      <c r="Y28" s="168" t="s">
        <v>256</v>
      </c>
      <c r="Z28" s="168" t="s">
        <v>257</v>
      </c>
      <c r="AA28" s="168" t="s">
        <v>258</v>
      </c>
      <c r="AB28" s="169" t="s">
        <v>259</v>
      </c>
      <c r="AC28" s="160"/>
      <c r="AD28" s="232"/>
      <c r="AE28" s="225">
        <f>AE27*0.015</f>
        <v>30587.759999999998</v>
      </c>
    </row>
    <row r="29" spans="2:31" ht="12.75">
      <c r="B29" s="330" t="s">
        <v>194</v>
      </c>
      <c r="C29" s="31" t="s">
        <v>139</v>
      </c>
      <c r="D29" s="31">
        <v>28</v>
      </c>
      <c r="E29" s="34">
        <v>62000</v>
      </c>
      <c r="F29" s="34">
        <f t="shared" si="0"/>
        <v>65100</v>
      </c>
      <c r="G29" s="34">
        <f t="shared" si="1"/>
        <v>66402</v>
      </c>
      <c r="H29" s="293">
        <f t="shared" si="3"/>
        <v>1859256</v>
      </c>
      <c r="J29" s="213">
        <v>15000</v>
      </c>
      <c r="L29" s="295">
        <f t="shared" si="4"/>
        <v>356851.20000000001</v>
      </c>
      <c r="M29" s="293">
        <f t="shared" si="5"/>
        <v>19825.066666666666</v>
      </c>
      <c r="N29" s="282">
        <f t="shared" si="6"/>
        <v>15522.847058823527</v>
      </c>
      <c r="O29" s="238">
        <f t="shared" si="7"/>
        <v>92962.800000000047</v>
      </c>
      <c r="P29" s="238">
        <f t="shared" si="8"/>
        <v>56975.200000000004</v>
      </c>
      <c r="Q29" s="301">
        <f t="shared" si="9"/>
        <v>12395.04</v>
      </c>
      <c r="S29" s="238">
        <f t="shared" si="10"/>
        <v>20211.501993504349</v>
      </c>
      <c r="U29" s="238">
        <v>72561</v>
      </c>
      <c r="V29" s="336">
        <f t="shared" si="2"/>
        <v>403.11666666666667</v>
      </c>
      <c r="X29" s="168" t="s">
        <v>276</v>
      </c>
      <c r="Y29" s="168" t="s">
        <v>261</v>
      </c>
      <c r="Z29" s="168" t="s">
        <v>257</v>
      </c>
      <c r="AA29" s="168" t="s">
        <v>262</v>
      </c>
      <c r="AB29" s="169">
        <v>115</v>
      </c>
      <c r="AC29" s="160"/>
      <c r="AD29" s="232"/>
      <c r="AE29" s="225">
        <f>AB29</f>
        <v>115</v>
      </c>
    </row>
    <row r="30" spans="2:31" ht="12.75">
      <c r="B30" s="330" t="s">
        <v>195</v>
      </c>
      <c r="C30" s="31" t="s">
        <v>143</v>
      </c>
      <c r="D30" s="31">
        <v>28</v>
      </c>
      <c r="E30" s="34">
        <v>64000</v>
      </c>
      <c r="F30" s="34">
        <f t="shared" si="0"/>
        <v>67200</v>
      </c>
      <c r="G30" s="34">
        <f t="shared" si="1"/>
        <v>68544</v>
      </c>
      <c r="H30" s="293">
        <f t="shared" si="3"/>
        <v>1919232</v>
      </c>
      <c r="J30" s="213">
        <v>15000</v>
      </c>
      <c r="L30" s="295">
        <f t="shared" si="4"/>
        <v>368846.4</v>
      </c>
      <c r="M30" s="293">
        <f t="shared" si="5"/>
        <v>20491.466666666667</v>
      </c>
      <c r="N30" s="282">
        <f t="shared" si="6"/>
        <v>16052.047058823529</v>
      </c>
      <c r="O30" s="238">
        <f t="shared" si="7"/>
        <v>95961.600000000035</v>
      </c>
      <c r="P30" s="238">
        <f t="shared" si="8"/>
        <v>58974.400000000001</v>
      </c>
      <c r="Q30" s="301">
        <f t="shared" si="9"/>
        <v>12794.880000000001</v>
      </c>
      <c r="S30" s="238">
        <f t="shared" si="10"/>
        <v>20861.309943115604</v>
      </c>
      <c r="U30" s="238">
        <v>74510</v>
      </c>
      <c r="V30" s="336">
        <f t="shared" si="2"/>
        <v>413.94444444444446</v>
      </c>
      <c r="X30" s="168" t="s">
        <v>277</v>
      </c>
      <c r="Y30" s="168" t="s">
        <v>264</v>
      </c>
      <c r="Z30" s="168" t="s">
        <v>265</v>
      </c>
      <c r="AA30" s="168" t="str">
        <f>AA28</f>
        <v>Fixed %</v>
      </c>
      <c r="AB30" s="169" t="s">
        <v>266</v>
      </c>
      <c r="AC30" s="160"/>
      <c r="AD30" s="232"/>
      <c r="AE30" s="225">
        <f>AE27*0.0075</f>
        <v>15293.88</v>
      </c>
    </row>
    <row r="31" spans="2:31" ht="12.75">
      <c r="B31" s="330" t="s">
        <v>196</v>
      </c>
      <c r="C31" s="31" t="s">
        <v>143</v>
      </c>
      <c r="D31" s="31">
        <v>28</v>
      </c>
      <c r="E31" s="34">
        <v>64000</v>
      </c>
      <c r="F31" s="34">
        <f t="shared" si="0"/>
        <v>67200</v>
      </c>
      <c r="G31" s="34">
        <f t="shared" si="1"/>
        <v>68544</v>
      </c>
      <c r="H31" s="293">
        <f t="shared" si="3"/>
        <v>1919232</v>
      </c>
      <c r="J31" s="213">
        <v>15000</v>
      </c>
      <c r="L31" s="295">
        <f t="shared" si="4"/>
        <v>368846.4</v>
      </c>
      <c r="M31" s="293">
        <f t="shared" si="5"/>
        <v>20491.466666666667</v>
      </c>
      <c r="N31" s="282">
        <f t="shared" si="6"/>
        <v>16052.047058823529</v>
      </c>
      <c r="O31" s="238">
        <f t="shared" si="7"/>
        <v>95961.600000000035</v>
      </c>
      <c r="P31" s="238">
        <f t="shared" si="8"/>
        <v>58974.400000000001</v>
      </c>
      <c r="Q31" s="301">
        <f t="shared" si="9"/>
        <v>12794.880000000001</v>
      </c>
      <c r="S31" s="238">
        <f t="shared" si="10"/>
        <v>20861.309943115604</v>
      </c>
      <c r="U31" s="238">
        <v>74510</v>
      </c>
      <c r="V31" s="336">
        <f t="shared" si="2"/>
        <v>413.94444444444446</v>
      </c>
      <c r="X31" s="168" t="s">
        <v>278</v>
      </c>
      <c r="Y31" s="168" t="s">
        <v>268</v>
      </c>
      <c r="Z31" s="168" t="s">
        <v>269</v>
      </c>
      <c r="AA31" s="168" t="str">
        <f>AA29</f>
        <v>Fixed Amt.</v>
      </c>
      <c r="AB31" s="169">
        <v>12000</v>
      </c>
      <c r="AC31" s="160"/>
      <c r="AD31" s="232"/>
      <c r="AE31" s="225">
        <f>AB31</f>
        <v>12000</v>
      </c>
    </row>
    <row r="32" spans="2:31" ht="12.75">
      <c r="B32" s="330" t="s">
        <v>197</v>
      </c>
      <c r="C32" s="31" t="s">
        <v>143</v>
      </c>
      <c r="D32" s="31">
        <v>28</v>
      </c>
      <c r="E32" s="34">
        <v>64000</v>
      </c>
      <c r="F32" s="34">
        <f t="shared" si="0"/>
        <v>67200</v>
      </c>
      <c r="G32" s="34">
        <f t="shared" si="1"/>
        <v>68544</v>
      </c>
      <c r="H32" s="293">
        <f t="shared" si="3"/>
        <v>1919232</v>
      </c>
      <c r="J32" s="213">
        <v>15000</v>
      </c>
      <c r="L32" s="295">
        <f t="shared" si="4"/>
        <v>368846.4</v>
      </c>
      <c r="M32" s="293">
        <f t="shared" si="5"/>
        <v>20491.466666666667</v>
      </c>
      <c r="N32" s="282">
        <f t="shared" si="6"/>
        <v>16052.047058823529</v>
      </c>
      <c r="O32" s="238">
        <f t="shared" si="7"/>
        <v>95961.600000000035</v>
      </c>
      <c r="P32" s="238">
        <f t="shared" si="8"/>
        <v>58974.400000000001</v>
      </c>
      <c r="Q32" s="301">
        <f t="shared" si="9"/>
        <v>12794.880000000001</v>
      </c>
      <c r="S32" s="238">
        <f t="shared" si="10"/>
        <v>20861.309943115604</v>
      </c>
      <c r="U32" s="238">
        <v>74510</v>
      </c>
      <c r="V32" s="336">
        <f t="shared" si="2"/>
        <v>413.94444444444446</v>
      </c>
      <c r="X32" s="168" t="s">
        <v>279</v>
      </c>
      <c r="Y32" s="168" t="s">
        <v>256</v>
      </c>
      <c r="Z32" s="168" t="s">
        <v>269</v>
      </c>
      <c r="AA32" s="168" t="str">
        <f>AA31</f>
        <v>Fixed Amt.</v>
      </c>
      <c r="AB32" s="169">
        <v>20</v>
      </c>
      <c r="AC32" s="160"/>
      <c r="AD32" s="232"/>
      <c r="AE32" s="225">
        <f>AB32</f>
        <v>20</v>
      </c>
    </row>
    <row r="33" spans="2:31" ht="12.75">
      <c r="B33" s="330" t="s">
        <v>198</v>
      </c>
      <c r="C33" s="31" t="s">
        <v>143</v>
      </c>
      <c r="D33" s="31">
        <v>28</v>
      </c>
      <c r="E33" s="34">
        <v>64000</v>
      </c>
      <c r="F33" s="34">
        <f t="shared" si="0"/>
        <v>67200</v>
      </c>
      <c r="G33" s="34">
        <f t="shared" si="1"/>
        <v>68544</v>
      </c>
      <c r="H33" s="293">
        <f t="shared" si="3"/>
        <v>1919232</v>
      </c>
      <c r="J33" s="213">
        <v>15000</v>
      </c>
      <c r="L33" s="295">
        <f t="shared" si="4"/>
        <v>368846.4</v>
      </c>
      <c r="M33" s="293">
        <f t="shared" si="5"/>
        <v>20491.466666666667</v>
      </c>
      <c r="N33" s="282">
        <f t="shared" si="6"/>
        <v>16052.047058823529</v>
      </c>
      <c r="O33" s="238">
        <f t="shared" si="7"/>
        <v>95961.600000000035</v>
      </c>
      <c r="P33" s="238">
        <f t="shared" si="8"/>
        <v>58974.400000000001</v>
      </c>
      <c r="Q33" s="301">
        <f t="shared" si="9"/>
        <v>12794.880000000001</v>
      </c>
      <c r="S33" s="238">
        <f t="shared" si="10"/>
        <v>20861.309943115604</v>
      </c>
      <c r="U33" s="238">
        <v>74510</v>
      </c>
      <c r="V33" s="336">
        <f t="shared" si="2"/>
        <v>413.94444444444446</v>
      </c>
      <c r="X33" s="168" t="s">
        <v>280</v>
      </c>
      <c r="Y33" s="168" t="s">
        <v>272</v>
      </c>
      <c r="Z33" s="168"/>
      <c r="AA33" s="168"/>
      <c r="AB33" s="171" t="s">
        <v>273</v>
      </c>
      <c r="AC33" s="160"/>
      <c r="AD33" s="232"/>
      <c r="AE33" s="227">
        <f>AE27*0.01</f>
        <v>20391.84</v>
      </c>
    </row>
    <row r="34" spans="2:31" ht="12.75">
      <c r="B34" s="330" t="s">
        <v>199</v>
      </c>
      <c r="C34" s="31" t="s">
        <v>139</v>
      </c>
      <c r="D34" s="31">
        <v>28</v>
      </c>
      <c r="E34" s="34">
        <v>62000</v>
      </c>
      <c r="F34" s="34">
        <f t="shared" si="0"/>
        <v>65100</v>
      </c>
      <c r="G34" s="34">
        <f t="shared" si="1"/>
        <v>66402</v>
      </c>
      <c r="H34" s="293">
        <f t="shared" si="3"/>
        <v>1859256</v>
      </c>
      <c r="J34" s="213">
        <v>15000</v>
      </c>
      <c r="L34" s="295">
        <f t="shared" si="4"/>
        <v>356851.20000000001</v>
      </c>
      <c r="M34" s="293">
        <f t="shared" si="5"/>
        <v>19825.066666666666</v>
      </c>
      <c r="N34" s="282">
        <f t="shared" si="6"/>
        <v>15522.847058823527</v>
      </c>
      <c r="O34" s="238">
        <f t="shared" si="7"/>
        <v>92962.800000000047</v>
      </c>
      <c r="P34" s="238">
        <f t="shared" si="8"/>
        <v>56975.200000000004</v>
      </c>
      <c r="Q34" s="301">
        <f t="shared" si="9"/>
        <v>12395.04</v>
      </c>
      <c r="S34" s="238">
        <f t="shared" si="10"/>
        <v>20211.501993504349</v>
      </c>
      <c r="U34" s="238">
        <v>72561</v>
      </c>
      <c r="V34" s="336">
        <f t="shared" si="2"/>
        <v>403.11666666666667</v>
      </c>
      <c r="X34" s="168" t="s">
        <v>281</v>
      </c>
      <c r="Y34" s="168"/>
      <c r="Z34" s="168"/>
      <c r="AA34" s="168"/>
      <c r="AB34" s="169"/>
      <c r="AC34" s="160"/>
      <c r="AD34" s="232"/>
      <c r="AE34" s="235">
        <f>SUM(AE28:AE33)</f>
        <v>78408.479999999996</v>
      </c>
    </row>
    <row r="35" spans="2:31" ht="12.75">
      <c r="B35" s="330" t="s">
        <v>200</v>
      </c>
      <c r="C35" s="31" t="s">
        <v>139</v>
      </c>
      <c r="D35" s="31">
        <v>28</v>
      </c>
      <c r="E35" s="34">
        <f>E34</f>
        <v>62000</v>
      </c>
      <c r="F35" s="34">
        <f t="shared" si="0"/>
        <v>65100</v>
      </c>
      <c r="G35" s="34">
        <f t="shared" si="1"/>
        <v>66402</v>
      </c>
      <c r="H35" s="293">
        <f t="shared" si="3"/>
        <v>1859256</v>
      </c>
      <c r="J35" s="213">
        <v>15000</v>
      </c>
      <c r="L35" s="295">
        <f t="shared" si="4"/>
        <v>356851.20000000001</v>
      </c>
      <c r="M35" s="293">
        <f t="shared" si="5"/>
        <v>19825.066666666666</v>
      </c>
      <c r="N35" s="282">
        <f t="shared" si="6"/>
        <v>15522.847058823527</v>
      </c>
      <c r="O35" s="238">
        <f t="shared" si="7"/>
        <v>92962.800000000047</v>
      </c>
      <c r="P35" s="238">
        <f t="shared" si="8"/>
        <v>56975.200000000004</v>
      </c>
      <c r="Q35" s="301">
        <f t="shared" si="9"/>
        <v>12395.04</v>
      </c>
      <c r="S35" s="238">
        <f t="shared" si="10"/>
        <v>20211.501993504349</v>
      </c>
      <c r="U35" s="238">
        <v>72561</v>
      </c>
      <c r="V35" s="336">
        <f t="shared" si="2"/>
        <v>403.11666666666667</v>
      </c>
      <c r="X35" s="160"/>
      <c r="Y35" s="160"/>
      <c r="Z35" s="160"/>
      <c r="AA35" s="160"/>
      <c r="AB35" s="161"/>
      <c r="AC35" s="160"/>
      <c r="AD35" s="232"/>
      <c r="AE35" s="225"/>
    </row>
    <row r="36" spans="2:31">
      <c r="B36" s="330" t="s">
        <v>201</v>
      </c>
      <c r="C36" s="31" t="s">
        <v>139</v>
      </c>
      <c r="D36" s="31">
        <v>28</v>
      </c>
      <c r="E36" s="34">
        <f>E35</f>
        <v>62000</v>
      </c>
      <c r="F36" s="34">
        <f t="shared" si="0"/>
        <v>65100</v>
      </c>
      <c r="G36" s="34">
        <f t="shared" si="1"/>
        <v>66402</v>
      </c>
      <c r="H36" s="293">
        <f t="shared" si="3"/>
        <v>1859256</v>
      </c>
      <c r="J36" s="213">
        <v>15000</v>
      </c>
      <c r="L36" s="295">
        <f t="shared" ref="L36:L99" si="12">H36*0.2-J36</f>
        <v>356851.20000000001</v>
      </c>
      <c r="M36" s="293">
        <f t="shared" si="5"/>
        <v>19825.066666666666</v>
      </c>
      <c r="N36" s="282">
        <f t="shared" ref="N36:N99" si="13">(H36*0.15-J36)/17</f>
        <v>15522.847058823527</v>
      </c>
      <c r="O36" s="238">
        <f t="shared" ref="O36:O99" si="14">L36-(N36*17)</f>
        <v>92962.800000000047</v>
      </c>
      <c r="P36" s="238">
        <f t="shared" ref="P36:P99" si="15">(H36*0.1-J36)/3</f>
        <v>56975.200000000004</v>
      </c>
      <c r="Q36" s="301">
        <f t="shared" ref="Q36:Q99" si="16">H36*0.1/15</f>
        <v>12395.04</v>
      </c>
      <c r="S36" s="238">
        <f t="shared" ref="S36:S99" si="17">PMT(14%/12,180,-H36*0.8)+U36/180</f>
        <v>20211.501993504349</v>
      </c>
      <c r="U36" s="238">
        <v>72561</v>
      </c>
      <c r="V36" s="336">
        <f t="shared" si="2"/>
        <v>403.11666666666667</v>
      </c>
      <c r="X36" s="49"/>
    </row>
    <row r="37" spans="2:31">
      <c r="B37" s="330" t="s">
        <v>202</v>
      </c>
      <c r="C37" s="31" t="s">
        <v>137</v>
      </c>
      <c r="D37" s="31">
        <v>28</v>
      </c>
      <c r="E37" s="34">
        <f>E20</f>
        <v>63500</v>
      </c>
      <c r="F37" s="34">
        <f t="shared" si="0"/>
        <v>66675</v>
      </c>
      <c r="G37" s="34">
        <f t="shared" si="1"/>
        <v>68008.5</v>
      </c>
      <c r="H37" s="293">
        <f t="shared" si="3"/>
        <v>1904238</v>
      </c>
      <c r="J37" s="213">
        <v>15000</v>
      </c>
      <c r="L37" s="295">
        <f t="shared" si="12"/>
        <v>365847.60000000003</v>
      </c>
      <c r="M37" s="293">
        <f t="shared" si="5"/>
        <v>20324.866666666669</v>
      </c>
      <c r="N37" s="282">
        <f t="shared" si="13"/>
        <v>15919.74705882353</v>
      </c>
      <c r="O37" s="238">
        <f t="shared" si="14"/>
        <v>95211.900000000023</v>
      </c>
      <c r="P37" s="238">
        <f t="shared" si="15"/>
        <v>58474.600000000006</v>
      </c>
      <c r="Q37" s="301">
        <f t="shared" si="16"/>
        <v>12694.920000000002</v>
      </c>
      <c r="S37" s="238">
        <f t="shared" si="17"/>
        <v>20698.859344601682</v>
      </c>
      <c r="U37" s="238">
        <v>74023</v>
      </c>
      <c r="V37" s="336">
        <f t="shared" si="2"/>
        <v>411.23888888888888</v>
      </c>
      <c r="X37" s="49"/>
    </row>
    <row r="38" spans="2:31">
      <c r="B38" s="330" t="s">
        <v>203</v>
      </c>
      <c r="C38" s="31" t="s">
        <v>143</v>
      </c>
      <c r="D38" s="31">
        <v>28</v>
      </c>
      <c r="E38" s="34">
        <f>E33</f>
        <v>64000</v>
      </c>
      <c r="F38" s="34">
        <f t="shared" si="0"/>
        <v>67200</v>
      </c>
      <c r="G38" s="34">
        <f t="shared" si="1"/>
        <v>68544</v>
      </c>
      <c r="H38" s="293">
        <f t="shared" si="3"/>
        <v>1919232</v>
      </c>
      <c r="J38" s="213">
        <v>15000</v>
      </c>
      <c r="L38" s="295">
        <f t="shared" si="12"/>
        <v>368846.4</v>
      </c>
      <c r="M38" s="293">
        <f t="shared" si="5"/>
        <v>20491.466666666667</v>
      </c>
      <c r="N38" s="282">
        <f t="shared" si="13"/>
        <v>16052.047058823529</v>
      </c>
      <c r="O38" s="238">
        <f t="shared" si="14"/>
        <v>95961.600000000035</v>
      </c>
      <c r="P38" s="238">
        <f t="shared" si="15"/>
        <v>58974.400000000001</v>
      </c>
      <c r="Q38" s="301">
        <f t="shared" si="16"/>
        <v>12794.880000000001</v>
      </c>
      <c r="S38" s="238">
        <f t="shared" si="17"/>
        <v>20861.309943115604</v>
      </c>
      <c r="U38" s="238">
        <v>74510</v>
      </c>
      <c r="V38" s="336">
        <f t="shared" si="2"/>
        <v>413.94444444444446</v>
      </c>
      <c r="X38" s="49"/>
    </row>
    <row r="39" spans="2:31">
      <c r="B39" s="330" t="s">
        <v>204</v>
      </c>
      <c r="C39" s="31" t="s">
        <v>143</v>
      </c>
      <c r="D39" s="31">
        <v>28</v>
      </c>
      <c r="E39" s="34">
        <f>E33</f>
        <v>64000</v>
      </c>
      <c r="F39" s="34">
        <f t="shared" si="0"/>
        <v>67200</v>
      </c>
      <c r="G39" s="34">
        <f t="shared" si="1"/>
        <v>68544</v>
      </c>
      <c r="H39" s="293">
        <f t="shared" si="3"/>
        <v>1919232</v>
      </c>
      <c r="J39" s="213">
        <v>15000</v>
      </c>
      <c r="L39" s="295">
        <f t="shared" si="12"/>
        <v>368846.4</v>
      </c>
      <c r="M39" s="293">
        <f t="shared" si="5"/>
        <v>20491.466666666667</v>
      </c>
      <c r="N39" s="282">
        <f t="shared" si="13"/>
        <v>16052.047058823529</v>
      </c>
      <c r="O39" s="238">
        <f t="shared" si="14"/>
        <v>95961.600000000035</v>
      </c>
      <c r="P39" s="238">
        <f t="shared" si="15"/>
        <v>58974.400000000001</v>
      </c>
      <c r="Q39" s="301">
        <f t="shared" si="16"/>
        <v>12794.880000000001</v>
      </c>
      <c r="S39" s="238">
        <f t="shared" si="17"/>
        <v>20861.309943115604</v>
      </c>
      <c r="U39" s="238">
        <v>74510</v>
      </c>
      <c r="V39" s="336">
        <f t="shared" si="2"/>
        <v>413.94444444444446</v>
      </c>
      <c r="X39" s="49"/>
    </row>
    <row r="40" spans="2:31" ht="12" hidden="1" customHeight="1">
      <c r="B40" s="330">
        <v>101</v>
      </c>
      <c r="C40" s="31" t="s">
        <v>137</v>
      </c>
      <c r="D40" s="31">
        <v>28</v>
      </c>
      <c r="E40" s="34">
        <v>64500</v>
      </c>
      <c r="F40" s="34">
        <f t="shared" si="0"/>
        <v>67725</v>
      </c>
      <c r="G40" s="34">
        <f t="shared" si="1"/>
        <v>69079.5</v>
      </c>
      <c r="H40" s="293">
        <f t="shared" si="3"/>
        <v>1934226</v>
      </c>
      <c r="J40" s="213">
        <v>15000</v>
      </c>
      <c r="L40" s="295">
        <f t="shared" si="12"/>
        <v>371845.2</v>
      </c>
      <c r="M40" s="293">
        <f t="shared" si="5"/>
        <v>20658.066666666666</v>
      </c>
      <c r="N40" s="282">
        <f t="shared" si="13"/>
        <v>16184.347058823527</v>
      </c>
      <c r="O40" s="238">
        <f t="shared" si="14"/>
        <v>96711.300000000047</v>
      </c>
      <c r="P40" s="238">
        <f t="shared" si="15"/>
        <v>59474.200000000004</v>
      </c>
      <c r="Q40" s="301">
        <f t="shared" si="16"/>
        <v>12894.84</v>
      </c>
      <c r="S40" s="238">
        <f t="shared" si="17"/>
        <v>20607.110541629529</v>
      </c>
      <c r="U40" s="238"/>
      <c r="V40" s="336">
        <f t="shared" si="2"/>
        <v>0</v>
      </c>
      <c r="X40" s="49"/>
    </row>
    <row r="41" spans="2:31" ht="12" hidden="1" customHeight="1">
      <c r="B41" s="330">
        <v>102</v>
      </c>
      <c r="C41" s="31" t="s">
        <v>137</v>
      </c>
      <c r="D41" s="31">
        <v>28</v>
      </c>
      <c r="E41" s="34">
        <f>E40</f>
        <v>64500</v>
      </c>
      <c r="F41" s="34">
        <f t="shared" si="0"/>
        <v>67725</v>
      </c>
      <c r="G41" s="34">
        <f t="shared" si="1"/>
        <v>69079.5</v>
      </c>
      <c r="H41" s="293">
        <f t="shared" si="3"/>
        <v>1934226</v>
      </c>
      <c r="J41" s="213">
        <v>15000</v>
      </c>
      <c r="L41" s="295">
        <f t="shared" si="12"/>
        <v>371845.2</v>
      </c>
      <c r="M41" s="293">
        <f t="shared" si="5"/>
        <v>20658.066666666666</v>
      </c>
      <c r="N41" s="282">
        <f t="shared" si="13"/>
        <v>16184.347058823527</v>
      </c>
      <c r="O41" s="238">
        <f t="shared" si="14"/>
        <v>96711.300000000047</v>
      </c>
      <c r="P41" s="238">
        <f t="shared" si="15"/>
        <v>59474.200000000004</v>
      </c>
      <c r="Q41" s="301">
        <f t="shared" si="16"/>
        <v>12894.84</v>
      </c>
      <c r="S41" s="238">
        <f t="shared" si="17"/>
        <v>20607.110541629529</v>
      </c>
      <c r="U41" s="238"/>
      <c r="V41" s="336">
        <f t="shared" si="2"/>
        <v>0</v>
      </c>
      <c r="X41" s="49"/>
    </row>
    <row r="42" spans="2:31" ht="12" hidden="1" customHeight="1">
      <c r="B42" s="330">
        <v>103</v>
      </c>
      <c r="C42" s="31" t="s">
        <v>142</v>
      </c>
      <c r="D42" s="31">
        <v>28</v>
      </c>
      <c r="E42" s="34">
        <v>66000</v>
      </c>
      <c r="F42" s="34">
        <f t="shared" si="0"/>
        <v>69300</v>
      </c>
      <c r="G42" s="34">
        <f t="shared" si="1"/>
        <v>70686</v>
      </c>
      <c r="H42" s="293">
        <f t="shared" si="3"/>
        <v>1979208</v>
      </c>
      <c r="J42" s="213">
        <v>15000</v>
      </c>
      <c r="L42" s="295">
        <f t="shared" si="12"/>
        <v>380841.60000000003</v>
      </c>
      <c r="M42" s="293">
        <f t="shared" si="5"/>
        <v>21157.866666666669</v>
      </c>
      <c r="N42" s="282">
        <f t="shared" si="13"/>
        <v>16581.24705882353</v>
      </c>
      <c r="O42" s="238">
        <f t="shared" si="14"/>
        <v>98960.400000000023</v>
      </c>
      <c r="P42" s="238">
        <f t="shared" si="15"/>
        <v>60973.600000000006</v>
      </c>
      <c r="Q42" s="301">
        <f t="shared" si="16"/>
        <v>13194.720000000001</v>
      </c>
      <c r="S42" s="238">
        <f t="shared" si="17"/>
        <v>21086.34567050463</v>
      </c>
      <c r="U42" s="238"/>
      <c r="V42" s="336">
        <f t="shared" si="2"/>
        <v>0</v>
      </c>
      <c r="X42" s="49"/>
    </row>
    <row r="43" spans="2:31" ht="12" hidden="1" customHeight="1">
      <c r="B43" s="330">
        <v>104</v>
      </c>
      <c r="C43" s="31" t="s">
        <v>143</v>
      </c>
      <c r="D43" s="31">
        <v>28</v>
      </c>
      <c r="E43" s="34">
        <v>65000</v>
      </c>
      <c r="F43" s="34">
        <f t="shared" si="0"/>
        <v>68250</v>
      </c>
      <c r="G43" s="34">
        <f t="shared" si="1"/>
        <v>69615</v>
      </c>
      <c r="H43" s="293">
        <f t="shared" si="3"/>
        <v>1949220</v>
      </c>
      <c r="J43" s="213">
        <v>15000</v>
      </c>
      <c r="L43" s="295">
        <f t="shared" si="12"/>
        <v>374844</v>
      </c>
      <c r="M43" s="293">
        <f t="shared" si="5"/>
        <v>20824.666666666668</v>
      </c>
      <c r="N43" s="282">
        <f t="shared" si="13"/>
        <v>16316.64705882353</v>
      </c>
      <c r="O43" s="238">
        <f t="shared" si="14"/>
        <v>97461</v>
      </c>
      <c r="P43" s="238">
        <f t="shared" si="15"/>
        <v>59974</v>
      </c>
      <c r="Q43" s="301">
        <f t="shared" si="16"/>
        <v>12994.8</v>
      </c>
      <c r="S43" s="238">
        <f t="shared" si="17"/>
        <v>20766.855584587895</v>
      </c>
      <c r="U43" s="238"/>
      <c r="V43" s="336">
        <f t="shared" si="2"/>
        <v>0</v>
      </c>
      <c r="X43" s="49"/>
    </row>
    <row r="44" spans="2:31" ht="12" hidden="1" customHeight="1">
      <c r="B44" s="330">
        <v>105</v>
      </c>
      <c r="C44" s="31" t="s">
        <v>142</v>
      </c>
      <c r="D44" s="31">
        <v>28</v>
      </c>
      <c r="E44" s="34">
        <v>66000</v>
      </c>
      <c r="F44" s="34">
        <f t="shared" si="0"/>
        <v>69300</v>
      </c>
      <c r="G44" s="34">
        <f t="shared" si="1"/>
        <v>70686</v>
      </c>
      <c r="H44" s="293">
        <f t="shared" si="3"/>
        <v>1979208</v>
      </c>
      <c r="J44" s="213">
        <v>15000</v>
      </c>
      <c r="L44" s="295">
        <f t="shared" si="12"/>
        <v>380841.60000000003</v>
      </c>
      <c r="M44" s="293">
        <f t="shared" si="5"/>
        <v>21157.866666666669</v>
      </c>
      <c r="N44" s="282">
        <f t="shared" si="13"/>
        <v>16581.24705882353</v>
      </c>
      <c r="O44" s="238">
        <f t="shared" si="14"/>
        <v>98960.400000000023</v>
      </c>
      <c r="P44" s="238">
        <f t="shared" si="15"/>
        <v>60973.600000000006</v>
      </c>
      <c r="Q44" s="301">
        <f t="shared" si="16"/>
        <v>13194.720000000001</v>
      </c>
      <c r="S44" s="238">
        <f t="shared" si="17"/>
        <v>21086.34567050463</v>
      </c>
      <c r="U44" s="238"/>
      <c r="V44" s="336">
        <f t="shared" si="2"/>
        <v>0</v>
      </c>
      <c r="X44" s="49"/>
    </row>
    <row r="45" spans="2:31" ht="12" hidden="1" customHeight="1">
      <c r="B45" s="330">
        <v>106</v>
      </c>
      <c r="C45" s="31" t="s">
        <v>143</v>
      </c>
      <c r="D45" s="31">
        <v>28</v>
      </c>
      <c r="E45" s="34">
        <v>65000</v>
      </c>
      <c r="F45" s="34">
        <f t="shared" ref="F45:F76" si="18">E45*1.05</f>
        <v>68250</v>
      </c>
      <c r="G45" s="34">
        <f t="shared" ref="G45:G76" si="19">F45*1.02</f>
        <v>69615</v>
      </c>
      <c r="H45" s="293">
        <f t="shared" ref="H45:H76" si="20">G45*D45</f>
        <v>1949220</v>
      </c>
      <c r="J45" s="213">
        <v>15000</v>
      </c>
      <c r="L45" s="295">
        <f t="shared" si="12"/>
        <v>374844</v>
      </c>
      <c r="M45" s="293">
        <f t="shared" si="5"/>
        <v>20824.666666666668</v>
      </c>
      <c r="N45" s="282">
        <f t="shared" si="13"/>
        <v>16316.64705882353</v>
      </c>
      <c r="O45" s="238">
        <f t="shared" si="14"/>
        <v>97461</v>
      </c>
      <c r="P45" s="238">
        <f t="shared" si="15"/>
        <v>59974</v>
      </c>
      <c r="Q45" s="301">
        <f t="shared" si="16"/>
        <v>12994.8</v>
      </c>
      <c r="S45" s="238">
        <f t="shared" si="17"/>
        <v>20766.855584587895</v>
      </c>
      <c r="U45" s="238"/>
      <c r="V45" s="336">
        <f t="shared" ref="V45:V76" si="21">U45/180</f>
        <v>0</v>
      </c>
      <c r="X45" s="49"/>
    </row>
    <row r="46" spans="2:31">
      <c r="B46" s="330">
        <v>107</v>
      </c>
      <c r="C46" s="31" t="s">
        <v>139</v>
      </c>
      <c r="D46" s="31">
        <v>28</v>
      </c>
      <c r="E46" s="34">
        <v>62000</v>
      </c>
      <c r="F46" s="34">
        <f t="shared" si="18"/>
        <v>65100</v>
      </c>
      <c r="G46" s="34">
        <f t="shared" si="19"/>
        <v>66402</v>
      </c>
      <c r="H46" s="293">
        <f t="shared" si="20"/>
        <v>1859256</v>
      </c>
      <c r="J46" s="213">
        <v>15000</v>
      </c>
      <c r="L46" s="295">
        <f t="shared" si="12"/>
        <v>356851.20000000001</v>
      </c>
      <c r="M46" s="293">
        <f t="shared" si="5"/>
        <v>19825.066666666666</v>
      </c>
      <c r="N46" s="282">
        <f t="shared" si="13"/>
        <v>15522.847058823527</v>
      </c>
      <c r="O46" s="238">
        <f t="shared" si="14"/>
        <v>92962.800000000047</v>
      </c>
      <c r="P46" s="238">
        <f t="shared" si="15"/>
        <v>56975.200000000004</v>
      </c>
      <c r="Q46" s="301">
        <f t="shared" si="16"/>
        <v>12395.04</v>
      </c>
      <c r="S46" s="238">
        <f t="shared" si="17"/>
        <v>20211.501993504349</v>
      </c>
      <c r="U46" s="238">
        <v>72561</v>
      </c>
      <c r="V46" s="336">
        <f t="shared" si="21"/>
        <v>403.11666666666667</v>
      </c>
      <c r="X46" s="49"/>
    </row>
    <row r="47" spans="2:31">
      <c r="B47" s="330">
        <v>108</v>
      </c>
      <c r="C47" s="31" t="s">
        <v>139</v>
      </c>
      <c r="D47" s="31">
        <v>28</v>
      </c>
      <c r="E47" s="34">
        <v>62000</v>
      </c>
      <c r="F47" s="34">
        <f t="shared" si="18"/>
        <v>65100</v>
      </c>
      <c r="G47" s="34">
        <f t="shared" si="19"/>
        <v>66402</v>
      </c>
      <c r="H47" s="293">
        <f t="shared" si="20"/>
        <v>1859256</v>
      </c>
      <c r="J47" s="213">
        <v>15000</v>
      </c>
      <c r="L47" s="295">
        <f t="shared" si="12"/>
        <v>356851.20000000001</v>
      </c>
      <c r="M47" s="293">
        <f t="shared" si="5"/>
        <v>19825.066666666666</v>
      </c>
      <c r="N47" s="282">
        <f t="shared" si="13"/>
        <v>15522.847058823527</v>
      </c>
      <c r="O47" s="238">
        <f t="shared" si="14"/>
        <v>92962.800000000047</v>
      </c>
      <c r="P47" s="238">
        <f t="shared" si="15"/>
        <v>56975.200000000004</v>
      </c>
      <c r="Q47" s="301">
        <f t="shared" si="16"/>
        <v>12395.04</v>
      </c>
      <c r="S47" s="238">
        <f t="shared" si="17"/>
        <v>20211.501993504349</v>
      </c>
      <c r="U47" s="238">
        <v>72561</v>
      </c>
      <c r="V47" s="336">
        <f t="shared" si="21"/>
        <v>403.11666666666667</v>
      </c>
      <c r="X47" s="49"/>
    </row>
    <row r="48" spans="2:31">
      <c r="B48" s="330">
        <v>109</v>
      </c>
      <c r="C48" s="31" t="s">
        <v>139</v>
      </c>
      <c r="D48" s="31">
        <v>28</v>
      </c>
      <c r="E48" s="34">
        <v>62000</v>
      </c>
      <c r="F48" s="34">
        <f t="shared" si="18"/>
        <v>65100</v>
      </c>
      <c r="G48" s="34">
        <f t="shared" si="19"/>
        <v>66402</v>
      </c>
      <c r="H48" s="293">
        <f t="shared" si="20"/>
        <v>1859256</v>
      </c>
      <c r="J48" s="213">
        <v>15000</v>
      </c>
      <c r="L48" s="295">
        <f t="shared" si="12"/>
        <v>356851.20000000001</v>
      </c>
      <c r="M48" s="293">
        <f t="shared" si="5"/>
        <v>19825.066666666666</v>
      </c>
      <c r="N48" s="282">
        <f t="shared" si="13"/>
        <v>15522.847058823527</v>
      </c>
      <c r="O48" s="238">
        <f t="shared" si="14"/>
        <v>92962.800000000047</v>
      </c>
      <c r="P48" s="238">
        <f t="shared" si="15"/>
        <v>56975.200000000004</v>
      </c>
      <c r="Q48" s="301">
        <f t="shared" si="16"/>
        <v>12395.04</v>
      </c>
      <c r="S48" s="238">
        <f t="shared" si="17"/>
        <v>20211.501993504349</v>
      </c>
      <c r="U48" s="238">
        <v>72561</v>
      </c>
      <c r="V48" s="336">
        <f t="shared" si="21"/>
        <v>403.11666666666667</v>
      </c>
      <c r="X48" s="49"/>
    </row>
    <row r="49" spans="2:24">
      <c r="B49" s="330">
        <v>110</v>
      </c>
      <c r="C49" s="31" t="s">
        <v>139</v>
      </c>
      <c r="D49" s="31">
        <v>28</v>
      </c>
      <c r="E49" s="34">
        <v>62000</v>
      </c>
      <c r="F49" s="34">
        <f t="shared" si="18"/>
        <v>65100</v>
      </c>
      <c r="G49" s="34">
        <f t="shared" si="19"/>
        <v>66402</v>
      </c>
      <c r="H49" s="293">
        <f t="shared" si="20"/>
        <v>1859256</v>
      </c>
      <c r="J49" s="213">
        <v>15000</v>
      </c>
      <c r="L49" s="295">
        <f t="shared" si="12"/>
        <v>356851.20000000001</v>
      </c>
      <c r="M49" s="293">
        <f t="shared" si="5"/>
        <v>19825.066666666666</v>
      </c>
      <c r="N49" s="282">
        <f t="shared" si="13"/>
        <v>15522.847058823527</v>
      </c>
      <c r="O49" s="238">
        <f t="shared" si="14"/>
        <v>92962.800000000047</v>
      </c>
      <c r="P49" s="238">
        <f t="shared" si="15"/>
        <v>56975.200000000004</v>
      </c>
      <c r="Q49" s="301">
        <f t="shared" si="16"/>
        <v>12395.04</v>
      </c>
      <c r="S49" s="238">
        <f t="shared" si="17"/>
        <v>20211.501993504349</v>
      </c>
      <c r="U49" s="238">
        <v>72561</v>
      </c>
      <c r="V49" s="336">
        <f t="shared" si="21"/>
        <v>403.11666666666667</v>
      </c>
      <c r="X49" s="49"/>
    </row>
    <row r="50" spans="2:24" ht="12" hidden="1" customHeight="1">
      <c r="B50" s="330">
        <v>111</v>
      </c>
      <c r="C50" s="31" t="s">
        <v>143</v>
      </c>
      <c r="D50" s="31">
        <v>28</v>
      </c>
      <c r="E50" s="34">
        <v>65000</v>
      </c>
      <c r="F50" s="34">
        <f t="shared" si="18"/>
        <v>68250</v>
      </c>
      <c r="G50" s="34">
        <f t="shared" si="19"/>
        <v>69615</v>
      </c>
      <c r="H50" s="293">
        <f t="shared" si="20"/>
        <v>1949220</v>
      </c>
      <c r="J50" s="213">
        <v>15000</v>
      </c>
      <c r="L50" s="295">
        <f t="shared" si="12"/>
        <v>374844</v>
      </c>
      <c r="M50" s="293">
        <f t="shared" si="5"/>
        <v>20824.666666666668</v>
      </c>
      <c r="N50" s="282">
        <f t="shared" si="13"/>
        <v>16316.64705882353</v>
      </c>
      <c r="O50" s="238">
        <f t="shared" si="14"/>
        <v>97461</v>
      </c>
      <c r="P50" s="238">
        <f t="shared" si="15"/>
        <v>59974</v>
      </c>
      <c r="Q50" s="301">
        <f t="shared" si="16"/>
        <v>12994.8</v>
      </c>
      <c r="S50" s="238">
        <f t="shared" si="17"/>
        <v>21169.97225125456</v>
      </c>
      <c r="U50" s="238">
        <v>72561</v>
      </c>
      <c r="V50" s="336">
        <f t="shared" si="21"/>
        <v>403.11666666666667</v>
      </c>
      <c r="X50" s="49"/>
    </row>
    <row r="51" spans="2:24" ht="12" hidden="1" customHeight="1">
      <c r="B51" s="330">
        <v>112</v>
      </c>
      <c r="C51" s="31" t="s">
        <v>143</v>
      </c>
      <c r="D51" s="31">
        <v>28</v>
      </c>
      <c r="E51" s="34">
        <v>65000</v>
      </c>
      <c r="F51" s="34">
        <f t="shared" si="18"/>
        <v>68250</v>
      </c>
      <c r="G51" s="34">
        <f t="shared" si="19"/>
        <v>69615</v>
      </c>
      <c r="H51" s="293">
        <f t="shared" si="20"/>
        <v>1949220</v>
      </c>
      <c r="J51" s="213">
        <v>15000</v>
      </c>
      <c r="L51" s="295">
        <f t="shared" si="12"/>
        <v>374844</v>
      </c>
      <c r="M51" s="293">
        <f t="shared" si="5"/>
        <v>20824.666666666668</v>
      </c>
      <c r="N51" s="282">
        <f t="shared" si="13"/>
        <v>16316.64705882353</v>
      </c>
      <c r="O51" s="238">
        <f t="shared" si="14"/>
        <v>97461</v>
      </c>
      <c r="P51" s="238">
        <f t="shared" si="15"/>
        <v>59974</v>
      </c>
      <c r="Q51" s="301">
        <f t="shared" si="16"/>
        <v>12994.8</v>
      </c>
      <c r="S51" s="238">
        <f t="shared" si="17"/>
        <v>21169.97225125456</v>
      </c>
      <c r="U51" s="238">
        <v>72561</v>
      </c>
      <c r="V51" s="336">
        <f t="shared" si="21"/>
        <v>403.11666666666667</v>
      </c>
      <c r="X51" s="49"/>
    </row>
    <row r="52" spans="2:24" ht="12" hidden="1" customHeight="1">
      <c r="B52" s="330">
        <v>113</v>
      </c>
      <c r="C52" s="31" t="s">
        <v>143</v>
      </c>
      <c r="D52" s="31">
        <v>28</v>
      </c>
      <c r="E52" s="34">
        <v>65000</v>
      </c>
      <c r="F52" s="34">
        <f t="shared" si="18"/>
        <v>68250</v>
      </c>
      <c r="G52" s="34">
        <f t="shared" si="19"/>
        <v>69615</v>
      </c>
      <c r="H52" s="293">
        <f t="shared" si="20"/>
        <v>1949220</v>
      </c>
      <c r="J52" s="213">
        <v>15000</v>
      </c>
      <c r="L52" s="295">
        <f t="shared" si="12"/>
        <v>374844</v>
      </c>
      <c r="M52" s="293">
        <f t="shared" si="5"/>
        <v>20824.666666666668</v>
      </c>
      <c r="N52" s="282">
        <f t="shared" si="13"/>
        <v>16316.64705882353</v>
      </c>
      <c r="O52" s="238">
        <f t="shared" si="14"/>
        <v>97461</v>
      </c>
      <c r="P52" s="238">
        <f t="shared" si="15"/>
        <v>59974</v>
      </c>
      <c r="Q52" s="301">
        <f t="shared" si="16"/>
        <v>12994.8</v>
      </c>
      <c r="S52" s="238">
        <f t="shared" si="17"/>
        <v>21169.97225125456</v>
      </c>
      <c r="U52" s="238">
        <v>72561</v>
      </c>
      <c r="V52" s="336">
        <f t="shared" si="21"/>
        <v>403.11666666666667</v>
      </c>
      <c r="X52" s="49"/>
    </row>
    <row r="53" spans="2:24">
      <c r="B53" s="330">
        <v>114</v>
      </c>
      <c r="C53" s="31" t="s">
        <v>139</v>
      </c>
      <c r="D53" s="31">
        <v>28</v>
      </c>
      <c r="E53" s="34">
        <v>62000</v>
      </c>
      <c r="F53" s="34">
        <f t="shared" si="18"/>
        <v>65100</v>
      </c>
      <c r="G53" s="34">
        <f t="shared" si="19"/>
        <v>66402</v>
      </c>
      <c r="H53" s="293">
        <f t="shared" si="20"/>
        <v>1859256</v>
      </c>
      <c r="J53" s="213">
        <v>15000</v>
      </c>
      <c r="L53" s="295">
        <f t="shared" si="12"/>
        <v>356851.20000000001</v>
      </c>
      <c r="M53" s="293">
        <f t="shared" si="5"/>
        <v>19825.066666666666</v>
      </c>
      <c r="N53" s="282">
        <f t="shared" si="13"/>
        <v>15522.847058823527</v>
      </c>
      <c r="O53" s="238">
        <f t="shared" si="14"/>
        <v>92962.800000000047</v>
      </c>
      <c r="P53" s="238">
        <f t="shared" si="15"/>
        <v>56975.200000000004</v>
      </c>
      <c r="Q53" s="301">
        <f t="shared" si="16"/>
        <v>12395.04</v>
      </c>
      <c r="S53" s="238">
        <f t="shared" si="17"/>
        <v>20211.501993504349</v>
      </c>
      <c r="U53" s="238">
        <v>72561</v>
      </c>
      <c r="V53" s="336">
        <f t="shared" si="21"/>
        <v>403.11666666666667</v>
      </c>
      <c r="X53" s="49"/>
    </row>
    <row r="54" spans="2:24">
      <c r="B54" s="330">
        <v>115</v>
      </c>
      <c r="C54" s="31" t="s">
        <v>139</v>
      </c>
      <c r="D54" s="31">
        <v>28</v>
      </c>
      <c r="E54" s="34">
        <v>62000</v>
      </c>
      <c r="F54" s="34">
        <f t="shared" si="18"/>
        <v>65100</v>
      </c>
      <c r="G54" s="34">
        <f t="shared" si="19"/>
        <v>66402</v>
      </c>
      <c r="H54" s="293">
        <f t="shared" si="20"/>
        <v>1859256</v>
      </c>
      <c r="J54" s="213">
        <v>15000</v>
      </c>
      <c r="L54" s="295">
        <f t="shared" si="12"/>
        <v>356851.20000000001</v>
      </c>
      <c r="M54" s="293">
        <f t="shared" si="5"/>
        <v>19825.066666666666</v>
      </c>
      <c r="N54" s="282">
        <f t="shared" si="13"/>
        <v>15522.847058823527</v>
      </c>
      <c r="O54" s="238">
        <f t="shared" si="14"/>
        <v>92962.800000000047</v>
      </c>
      <c r="P54" s="238">
        <f t="shared" si="15"/>
        <v>56975.200000000004</v>
      </c>
      <c r="Q54" s="301">
        <f t="shared" si="16"/>
        <v>12395.04</v>
      </c>
      <c r="S54" s="238">
        <f t="shared" si="17"/>
        <v>20211.501993504349</v>
      </c>
      <c r="U54" s="238">
        <v>72561</v>
      </c>
      <c r="V54" s="336">
        <f t="shared" si="21"/>
        <v>403.11666666666667</v>
      </c>
      <c r="X54" s="49"/>
    </row>
    <row r="55" spans="2:24">
      <c r="B55" s="330">
        <v>116</v>
      </c>
      <c r="C55" s="31" t="s">
        <v>139</v>
      </c>
      <c r="D55" s="31">
        <v>28</v>
      </c>
      <c r="E55" s="34">
        <v>62000</v>
      </c>
      <c r="F55" s="34">
        <f t="shared" si="18"/>
        <v>65100</v>
      </c>
      <c r="G55" s="34">
        <f t="shared" si="19"/>
        <v>66402</v>
      </c>
      <c r="H55" s="293">
        <f t="shared" si="20"/>
        <v>1859256</v>
      </c>
      <c r="J55" s="213">
        <v>15000</v>
      </c>
      <c r="L55" s="295">
        <f t="shared" si="12"/>
        <v>356851.20000000001</v>
      </c>
      <c r="M55" s="293">
        <f t="shared" si="5"/>
        <v>19825.066666666666</v>
      </c>
      <c r="N55" s="282">
        <f t="shared" si="13"/>
        <v>15522.847058823527</v>
      </c>
      <c r="O55" s="238">
        <f t="shared" si="14"/>
        <v>92962.800000000047</v>
      </c>
      <c r="P55" s="238">
        <f t="shared" si="15"/>
        <v>56975.200000000004</v>
      </c>
      <c r="Q55" s="301">
        <f t="shared" si="16"/>
        <v>12395.04</v>
      </c>
      <c r="S55" s="238">
        <f t="shared" si="17"/>
        <v>20211.501993504349</v>
      </c>
      <c r="U55" s="238">
        <v>72561</v>
      </c>
      <c r="V55" s="336">
        <f t="shared" si="21"/>
        <v>403.11666666666667</v>
      </c>
      <c r="X55" s="49"/>
    </row>
    <row r="56" spans="2:24" ht="12" hidden="1" customHeight="1">
      <c r="B56" s="330">
        <v>117</v>
      </c>
      <c r="C56" s="31" t="s">
        <v>143</v>
      </c>
      <c r="D56" s="31">
        <v>28</v>
      </c>
      <c r="E56" s="34">
        <v>65000</v>
      </c>
      <c r="F56" s="34">
        <f t="shared" si="18"/>
        <v>68250</v>
      </c>
      <c r="G56" s="34">
        <f t="shared" si="19"/>
        <v>69615</v>
      </c>
      <c r="H56" s="293">
        <f t="shared" si="20"/>
        <v>1949220</v>
      </c>
      <c r="J56" s="213">
        <v>15000</v>
      </c>
      <c r="L56" s="295">
        <f t="shared" si="12"/>
        <v>374844</v>
      </c>
      <c r="M56" s="293">
        <f t="shared" si="5"/>
        <v>20824.666666666668</v>
      </c>
      <c r="N56" s="282">
        <f t="shared" si="13"/>
        <v>16316.64705882353</v>
      </c>
      <c r="O56" s="238">
        <f t="shared" si="14"/>
        <v>97461</v>
      </c>
      <c r="P56" s="238">
        <f t="shared" si="15"/>
        <v>59974</v>
      </c>
      <c r="Q56" s="301">
        <f t="shared" si="16"/>
        <v>12994.8</v>
      </c>
      <c r="S56" s="238">
        <f t="shared" si="17"/>
        <v>20766.855584587895</v>
      </c>
      <c r="U56" s="238"/>
      <c r="V56" s="336">
        <f t="shared" si="21"/>
        <v>0</v>
      </c>
      <c r="X56" s="49"/>
    </row>
    <row r="57" spans="2:24" ht="12" hidden="1" customHeight="1">
      <c r="B57" s="330">
        <v>118</v>
      </c>
      <c r="C57" s="31" t="s">
        <v>143</v>
      </c>
      <c r="D57" s="31">
        <v>28</v>
      </c>
      <c r="E57" s="34">
        <v>65000</v>
      </c>
      <c r="F57" s="34">
        <f t="shared" si="18"/>
        <v>68250</v>
      </c>
      <c r="G57" s="34">
        <f t="shared" si="19"/>
        <v>69615</v>
      </c>
      <c r="H57" s="293">
        <f t="shared" si="20"/>
        <v>1949220</v>
      </c>
      <c r="J57" s="213">
        <v>15000</v>
      </c>
      <c r="L57" s="295">
        <f t="shared" si="12"/>
        <v>374844</v>
      </c>
      <c r="M57" s="293">
        <f t="shared" si="5"/>
        <v>20824.666666666668</v>
      </c>
      <c r="N57" s="282">
        <f t="shared" si="13"/>
        <v>16316.64705882353</v>
      </c>
      <c r="O57" s="238">
        <f t="shared" si="14"/>
        <v>97461</v>
      </c>
      <c r="P57" s="238">
        <f t="shared" si="15"/>
        <v>59974</v>
      </c>
      <c r="Q57" s="301">
        <f t="shared" si="16"/>
        <v>12994.8</v>
      </c>
      <c r="S57" s="238">
        <f t="shared" si="17"/>
        <v>20766.855584587895</v>
      </c>
      <c r="U57" s="238"/>
      <c r="V57" s="336">
        <f t="shared" si="21"/>
        <v>0</v>
      </c>
      <c r="X57" s="49"/>
    </row>
    <row r="58" spans="2:24">
      <c r="B58" s="330">
        <v>119</v>
      </c>
      <c r="C58" s="31" t="s">
        <v>143</v>
      </c>
      <c r="D58" s="31">
        <v>28</v>
      </c>
      <c r="E58" s="34">
        <v>65000</v>
      </c>
      <c r="F58" s="34">
        <f t="shared" si="18"/>
        <v>68250</v>
      </c>
      <c r="G58" s="34">
        <f t="shared" si="19"/>
        <v>69615</v>
      </c>
      <c r="H58" s="293">
        <f t="shared" si="20"/>
        <v>1949220</v>
      </c>
      <c r="J58" s="213">
        <v>15000</v>
      </c>
      <c r="L58" s="295">
        <f t="shared" si="12"/>
        <v>374844</v>
      </c>
      <c r="M58" s="293">
        <f t="shared" si="5"/>
        <v>20824.666666666668</v>
      </c>
      <c r="N58" s="282">
        <f t="shared" si="13"/>
        <v>16316.64705882353</v>
      </c>
      <c r="O58" s="238">
        <f t="shared" si="14"/>
        <v>97461</v>
      </c>
      <c r="P58" s="238">
        <f t="shared" si="15"/>
        <v>59974</v>
      </c>
      <c r="Q58" s="301">
        <f t="shared" si="16"/>
        <v>12994.8</v>
      </c>
      <c r="S58" s="238">
        <f t="shared" si="17"/>
        <v>21186.216695699004</v>
      </c>
      <c r="U58" s="238">
        <v>75485</v>
      </c>
      <c r="V58" s="336">
        <f t="shared" si="21"/>
        <v>419.36111111111109</v>
      </c>
      <c r="X58" s="49"/>
    </row>
    <row r="59" spans="2:24" ht="12" hidden="1" customHeight="1">
      <c r="B59" s="330">
        <v>120</v>
      </c>
      <c r="C59" s="31" t="s">
        <v>143</v>
      </c>
      <c r="D59" s="31">
        <v>28</v>
      </c>
      <c r="E59" s="34">
        <v>65000</v>
      </c>
      <c r="F59" s="34">
        <f t="shared" si="18"/>
        <v>68250</v>
      </c>
      <c r="G59" s="34">
        <f t="shared" si="19"/>
        <v>69615</v>
      </c>
      <c r="H59" s="293">
        <f t="shared" si="20"/>
        <v>1949220</v>
      </c>
      <c r="J59" s="213">
        <v>15000</v>
      </c>
      <c r="L59" s="295">
        <f t="shared" si="12"/>
        <v>374844</v>
      </c>
      <c r="M59" s="293">
        <f t="shared" si="5"/>
        <v>20824.666666666668</v>
      </c>
      <c r="N59" s="282">
        <f t="shared" si="13"/>
        <v>16316.64705882353</v>
      </c>
      <c r="O59" s="238">
        <f t="shared" si="14"/>
        <v>97461</v>
      </c>
      <c r="P59" s="238">
        <f t="shared" si="15"/>
        <v>59974</v>
      </c>
      <c r="Q59" s="301">
        <f t="shared" si="16"/>
        <v>12994.8</v>
      </c>
      <c r="S59" s="238">
        <f t="shared" si="17"/>
        <v>20766.855584587895</v>
      </c>
      <c r="U59" s="238"/>
      <c r="V59" s="336">
        <f t="shared" si="21"/>
        <v>0</v>
      </c>
      <c r="X59" s="49"/>
    </row>
    <row r="60" spans="2:24">
      <c r="B60" s="330">
        <v>121</v>
      </c>
      <c r="C60" s="31" t="s">
        <v>137</v>
      </c>
      <c r="D60" s="31">
        <v>28</v>
      </c>
      <c r="E60" s="34">
        <v>64500</v>
      </c>
      <c r="F60" s="34">
        <f t="shared" si="18"/>
        <v>67725</v>
      </c>
      <c r="G60" s="34">
        <f t="shared" si="19"/>
        <v>69079.5</v>
      </c>
      <c r="H60" s="293">
        <f t="shared" si="20"/>
        <v>1934226</v>
      </c>
      <c r="J60" s="213">
        <v>15000</v>
      </c>
      <c r="L60" s="295">
        <f t="shared" si="12"/>
        <v>371845.2</v>
      </c>
      <c r="M60" s="293">
        <f t="shared" si="5"/>
        <v>20658.066666666666</v>
      </c>
      <c r="N60" s="282">
        <f t="shared" si="13"/>
        <v>16184.347058823527</v>
      </c>
      <c r="O60" s="238">
        <f t="shared" si="14"/>
        <v>96711.300000000047</v>
      </c>
      <c r="P60" s="238">
        <f t="shared" si="15"/>
        <v>59474.200000000004</v>
      </c>
      <c r="Q60" s="301">
        <f t="shared" si="16"/>
        <v>12894.84</v>
      </c>
      <c r="S60" s="238">
        <f t="shared" si="17"/>
        <v>21023.76054162953</v>
      </c>
      <c r="U60" s="238">
        <v>74997</v>
      </c>
      <c r="V60" s="336">
        <f t="shared" si="21"/>
        <v>416.65</v>
      </c>
      <c r="X60" s="49"/>
    </row>
    <row r="61" spans="2:24" ht="12" hidden="1" customHeight="1">
      <c r="B61" s="330">
        <v>122</v>
      </c>
      <c r="C61" s="31" t="s">
        <v>137</v>
      </c>
      <c r="D61" s="31">
        <v>28</v>
      </c>
      <c r="E61" s="34">
        <v>64500</v>
      </c>
      <c r="F61" s="34">
        <f t="shared" si="18"/>
        <v>67725</v>
      </c>
      <c r="G61" s="34">
        <f t="shared" si="19"/>
        <v>69079.5</v>
      </c>
      <c r="H61" s="293">
        <f t="shared" si="20"/>
        <v>1934226</v>
      </c>
      <c r="J61" s="213">
        <v>15000</v>
      </c>
      <c r="L61" s="295">
        <f t="shared" si="12"/>
        <v>371845.2</v>
      </c>
      <c r="M61" s="293">
        <f t="shared" si="5"/>
        <v>20658.066666666666</v>
      </c>
      <c r="N61" s="282">
        <f t="shared" si="13"/>
        <v>16184.347058823527</v>
      </c>
      <c r="O61" s="238">
        <f t="shared" si="14"/>
        <v>96711.300000000047</v>
      </c>
      <c r="P61" s="238">
        <f t="shared" si="15"/>
        <v>59474.200000000004</v>
      </c>
      <c r="Q61" s="301">
        <f t="shared" si="16"/>
        <v>12894.84</v>
      </c>
      <c r="S61" s="238">
        <f t="shared" si="17"/>
        <v>20607.110541629529</v>
      </c>
      <c r="U61" s="238"/>
      <c r="V61" s="336">
        <f t="shared" si="21"/>
        <v>0</v>
      </c>
      <c r="X61" s="49"/>
    </row>
    <row r="62" spans="2:24" ht="12" hidden="1" customHeight="1">
      <c r="B62" s="330">
        <v>201</v>
      </c>
      <c r="C62" s="31" t="s">
        <v>137</v>
      </c>
      <c r="D62" s="31">
        <v>28</v>
      </c>
      <c r="E62" s="34">
        <v>65500</v>
      </c>
      <c r="F62" s="34">
        <f t="shared" si="18"/>
        <v>68775</v>
      </c>
      <c r="G62" s="34">
        <f t="shared" si="19"/>
        <v>70150.5</v>
      </c>
      <c r="H62" s="293">
        <f t="shared" si="20"/>
        <v>1964214</v>
      </c>
      <c r="J62" s="213">
        <v>15000</v>
      </c>
      <c r="L62" s="295">
        <f t="shared" si="12"/>
        <v>377842.80000000005</v>
      </c>
      <c r="M62" s="293">
        <f t="shared" si="5"/>
        <v>20991.26666666667</v>
      </c>
      <c r="N62" s="282">
        <f t="shared" si="13"/>
        <v>16448.947058823527</v>
      </c>
      <c r="O62" s="238">
        <f t="shared" si="14"/>
        <v>98210.70000000007</v>
      </c>
      <c r="P62" s="238">
        <f t="shared" si="15"/>
        <v>60473.80000000001</v>
      </c>
      <c r="Q62" s="301">
        <f t="shared" si="16"/>
        <v>13094.760000000002</v>
      </c>
      <c r="S62" s="238">
        <f t="shared" si="17"/>
        <v>20926.600627546264</v>
      </c>
      <c r="U62" s="238"/>
      <c r="V62" s="336">
        <f t="shared" si="21"/>
        <v>0</v>
      </c>
      <c r="X62" s="49"/>
    </row>
    <row r="63" spans="2:24" ht="12" hidden="1" customHeight="1">
      <c r="B63" s="330">
        <v>202</v>
      </c>
      <c r="C63" s="31" t="s">
        <v>137</v>
      </c>
      <c r="D63" s="31">
        <v>28</v>
      </c>
      <c r="E63" s="34">
        <v>65500</v>
      </c>
      <c r="F63" s="34">
        <f t="shared" si="18"/>
        <v>68775</v>
      </c>
      <c r="G63" s="34">
        <f t="shared" si="19"/>
        <v>70150.5</v>
      </c>
      <c r="H63" s="293">
        <f t="shared" si="20"/>
        <v>1964214</v>
      </c>
      <c r="J63" s="213">
        <v>15000</v>
      </c>
      <c r="L63" s="295">
        <f t="shared" si="12"/>
        <v>377842.80000000005</v>
      </c>
      <c r="M63" s="293">
        <f t="shared" si="5"/>
        <v>20991.26666666667</v>
      </c>
      <c r="N63" s="282">
        <f t="shared" si="13"/>
        <v>16448.947058823527</v>
      </c>
      <c r="O63" s="238">
        <f t="shared" si="14"/>
        <v>98210.70000000007</v>
      </c>
      <c r="P63" s="238">
        <f t="shared" si="15"/>
        <v>60473.80000000001</v>
      </c>
      <c r="Q63" s="301">
        <f t="shared" si="16"/>
        <v>13094.760000000002</v>
      </c>
      <c r="S63" s="238">
        <f t="shared" si="17"/>
        <v>20926.600627546264</v>
      </c>
      <c r="U63" s="238"/>
      <c r="V63" s="336">
        <f t="shared" si="21"/>
        <v>0</v>
      </c>
      <c r="X63" s="49"/>
    </row>
    <row r="64" spans="2:24" ht="12" hidden="1" customHeight="1">
      <c r="B64" s="330">
        <v>203</v>
      </c>
      <c r="C64" s="31" t="s">
        <v>142</v>
      </c>
      <c r="D64" s="31">
        <v>28</v>
      </c>
      <c r="E64" s="34">
        <v>70000</v>
      </c>
      <c r="F64" s="34">
        <f t="shared" si="18"/>
        <v>73500</v>
      </c>
      <c r="G64" s="34">
        <f t="shared" si="19"/>
        <v>74970</v>
      </c>
      <c r="H64" s="293">
        <f t="shared" si="20"/>
        <v>2099160</v>
      </c>
      <c r="J64" s="213">
        <v>15000</v>
      </c>
      <c r="L64" s="295">
        <f t="shared" si="12"/>
        <v>404832</v>
      </c>
      <c r="M64" s="293">
        <f t="shared" si="5"/>
        <v>22490.666666666668</v>
      </c>
      <c r="N64" s="282">
        <f t="shared" si="13"/>
        <v>17639.647058823528</v>
      </c>
      <c r="O64" s="238">
        <f t="shared" si="14"/>
        <v>104958</v>
      </c>
      <c r="P64" s="238">
        <f t="shared" si="15"/>
        <v>64972</v>
      </c>
      <c r="Q64" s="301">
        <f t="shared" si="16"/>
        <v>13994.4</v>
      </c>
      <c r="S64" s="238">
        <f t="shared" si="17"/>
        <v>22364.30601417158</v>
      </c>
      <c r="U64" s="238"/>
      <c r="V64" s="336">
        <f t="shared" si="21"/>
        <v>0</v>
      </c>
      <c r="X64" s="49"/>
    </row>
    <row r="65" spans="2:24">
      <c r="B65" s="330">
        <v>204</v>
      </c>
      <c r="C65" s="31" t="s">
        <v>143</v>
      </c>
      <c r="D65" s="31">
        <v>28</v>
      </c>
      <c r="E65" s="34">
        <v>67000</v>
      </c>
      <c r="F65" s="34">
        <f t="shared" si="18"/>
        <v>70350</v>
      </c>
      <c r="G65" s="34">
        <f t="shared" si="19"/>
        <v>71757</v>
      </c>
      <c r="H65" s="293">
        <f t="shared" si="20"/>
        <v>2009196</v>
      </c>
      <c r="J65" s="213">
        <v>15000</v>
      </c>
      <c r="L65" s="295">
        <f t="shared" si="12"/>
        <v>386839.2</v>
      </c>
      <c r="M65" s="293">
        <f t="shared" si="5"/>
        <v>21491.066666666666</v>
      </c>
      <c r="N65" s="282">
        <f t="shared" si="13"/>
        <v>16845.847058823529</v>
      </c>
      <c r="O65" s="238">
        <f t="shared" si="14"/>
        <v>100459.80000000005</v>
      </c>
      <c r="P65" s="238">
        <f t="shared" si="15"/>
        <v>61973.200000000004</v>
      </c>
      <c r="Q65" s="301">
        <f t="shared" si="16"/>
        <v>13394.640000000001</v>
      </c>
      <c r="S65" s="238">
        <f t="shared" si="17"/>
        <v>21836.024645310259</v>
      </c>
      <c r="U65" s="238">
        <v>77434</v>
      </c>
      <c r="V65" s="336">
        <f t="shared" si="21"/>
        <v>430.18888888888887</v>
      </c>
      <c r="X65" s="49"/>
    </row>
    <row r="66" spans="2:24" ht="12" hidden="1" customHeight="1">
      <c r="B66" s="330">
        <v>205</v>
      </c>
      <c r="C66" s="31" t="s">
        <v>142</v>
      </c>
      <c r="D66" s="31">
        <v>28</v>
      </c>
      <c r="E66" s="34">
        <v>70000</v>
      </c>
      <c r="F66" s="34">
        <f t="shared" si="18"/>
        <v>73500</v>
      </c>
      <c r="G66" s="34">
        <f t="shared" si="19"/>
        <v>74970</v>
      </c>
      <c r="H66" s="293">
        <f t="shared" si="20"/>
        <v>2099160</v>
      </c>
      <c r="J66" s="213">
        <v>15000</v>
      </c>
      <c r="L66" s="295">
        <f t="shared" si="12"/>
        <v>404832</v>
      </c>
      <c r="M66" s="293">
        <f t="shared" si="5"/>
        <v>22490.666666666668</v>
      </c>
      <c r="N66" s="282">
        <f t="shared" si="13"/>
        <v>17639.647058823528</v>
      </c>
      <c r="O66" s="238">
        <f t="shared" si="14"/>
        <v>104958</v>
      </c>
      <c r="P66" s="238">
        <f t="shared" si="15"/>
        <v>64972</v>
      </c>
      <c r="Q66" s="301">
        <f t="shared" si="16"/>
        <v>13994.4</v>
      </c>
      <c r="S66" s="238">
        <f t="shared" si="17"/>
        <v>22794.494903060469</v>
      </c>
      <c r="U66" s="238">
        <v>77434</v>
      </c>
      <c r="V66" s="336">
        <f t="shared" si="21"/>
        <v>430.18888888888887</v>
      </c>
      <c r="X66" s="49"/>
    </row>
    <row r="67" spans="2:24">
      <c r="B67" s="330">
        <v>206</v>
      </c>
      <c r="C67" s="31" t="s">
        <v>143</v>
      </c>
      <c r="D67" s="31">
        <v>28</v>
      </c>
      <c r="E67" s="34">
        <v>67000</v>
      </c>
      <c r="F67" s="34">
        <f t="shared" si="18"/>
        <v>70350</v>
      </c>
      <c r="G67" s="34">
        <f t="shared" si="19"/>
        <v>71757</v>
      </c>
      <c r="H67" s="293">
        <f t="shared" si="20"/>
        <v>2009196</v>
      </c>
      <c r="J67" s="213">
        <v>15000</v>
      </c>
      <c r="L67" s="295">
        <f t="shared" si="12"/>
        <v>386839.2</v>
      </c>
      <c r="M67" s="293">
        <f t="shared" si="5"/>
        <v>21491.066666666666</v>
      </c>
      <c r="N67" s="282">
        <f t="shared" si="13"/>
        <v>16845.847058823529</v>
      </c>
      <c r="O67" s="238">
        <f t="shared" si="14"/>
        <v>100459.80000000005</v>
      </c>
      <c r="P67" s="238">
        <f t="shared" si="15"/>
        <v>61973.200000000004</v>
      </c>
      <c r="Q67" s="301">
        <f t="shared" si="16"/>
        <v>13394.640000000001</v>
      </c>
      <c r="S67" s="238">
        <f t="shared" si="17"/>
        <v>21836.024645310259</v>
      </c>
      <c r="U67" s="238">
        <v>77434</v>
      </c>
      <c r="V67" s="336">
        <f t="shared" si="21"/>
        <v>430.18888888888887</v>
      </c>
      <c r="X67" s="49"/>
    </row>
    <row r="68" spans="2:24">
      <c r="B68" s="330">
        <v>207</v>
      </c>
      <c r="C68" s="31" t="s">
        <v>139</v>
      </c>
      <c r="D68" s="31">
        <v>28</v>
      </c>
      <c r="E68" s="34">
        <v>64000</v>
      </c>
      <c r="F68" s="34">
        <f t="shared" si="18"/>
        <v>67200</v>
      </c>
      <c r="G68" s="34">
        <f t="shared" si="19"/>
        <v>68544</v>
      </c>
      <c r="H68" s="293">
        <f t="shared" si="20"/>
        <v>1919232</v>
      </c>
      <c r="J68" s="213">
        <v>15000</v>
      </c>
      <c r="L68" s="295">
        <f t="shared" si="12"/>
        <v>368846.4</v>
      </c>
      <c r="M68" s="293">
        <f t="shared" si="5"/>
        <v>20491.466666666667</v>
      </c>
      <c r="N68" s="282">
        <f t="shared" si="13"/>
        <v>16052.047058823529</v>
      </c>
      <c r="O68" s="238">
        <f t="shared" si="14"/>
        <v>95961.600000000035</v>
      </c>
      <c r="P68" s="238">
        <f t="shared" si="15"/>
        <v>58974.400000000001</v>
      </c>
      <c r="Q68" s="301">
        <f t="shared" si="16"/>
        <v>12794.880000000001</v>
      </c>
      <c r="S68" s="238">
        <f t="shared" si="17"/>
        <v>20861.309943115604</v>
      </c>
      <c r="U68" s="238">
        <v>74510</v>
      </c>
      <c r="V68" s="336">
        <f t="shared" si="21"/>
        <v>413.94444444444446</v>
      </c>
      <c r="X68" s="49"/>
    </row>
    <row r="69" spans="2:24">
      <c r="B69" s="330">
        <v>208</v>
      </c>
      <c r="C69" s="31" t="s">
        <v>139</v>
      </c>
      <c r="D69" s="31">
        <v>28</v>
      </c>
      <c r="E69" s="34">
        <v>64000</v>
      </c>
      <c r="F69" s="34">
        <f t="shared" si="18"/>
        <v>67200</v>
      </c>
      <c r="G69" s="34">
        <f t="shared" si="19"/>
        <v>68544</v>
      </c>
      <c r="H69" s="293">
        <f t="shared" si="20"/>
        <v>1919232</v>
      </c>
      <c r="J69" s="213">
        <v>15000</v>
      </c>
      <c r="L69" s="295">
        <f t="shared" si="12"/>
        <v>368846.4</v>
      </c>
      <c r="M69" s="293">
        <f t="shared" si="5"/>
        <v>20491.466666666667</v>
      </c>
      <c r="N69" s="282">
        <f t="shared" si="13"/>
        <v>16052.047058823529</v>
      </c>
      <c r="O69" s="238">
        <f t="shared" si="14"/>
        <v>95961.600000000035</v>
      </c>
      <c r="P69" s="238">
        <f t="shared" si="15"/>
        <v>58974.400000000001</v>
      </c>
      <c r="Q69" s="301">
        <f t="shared" si="16"/>
        <v>12794.880000000001</v>
      </c>
      <c r="S69" s="238">
        <f t="shared" si="17"/>
        <v>20861.309943115604</v>
      </c>
      <c r="U69" s="238">
        <v>74510</v>
      </c>
      <c r="V69" s="336">
        <f t="shared" si="21"/>
        <v>413.94444444444446</v>
      </c>
      <c r="X69" s="49"/>
    </row>
    <row r="70" spans="2:24">
      <c r="B70" s="330">
        <v>209</v>
      </c>
      <c r="C70" s="31" t="s">
        <v>139</v>
      </c>
      <c r="D70" s="31">
        <v>28</v>
      </c>
      <c r="E70" s="34">
        <v>64000</v>
      </c>
      <c r="F70" s="34">
        <f t="shared" si="18"/>
        <v>67200</v>
      </c>
      <c r="G70" s="34">
        <f t="shared" si="19"/>
        <v>68544</v>
      </c>
      <c r="H70" s="293">
        <f t="shared" si="20"/>
        <v>1919232</v>
      </c>
      <c r="J70" s="213">
        <v>15000</v>
      </c>
      <c r="L70" s="295">
        <f t="shared" si="12"/>
        <v>368846.4</v>
      </c>
      <c r="M70" s="293">
        <f t="shared" si="5"/>
        <v>20491.466666666667</v>
      </c>
      <c r="N70" s="282">
        <f t="shared" si="13"/>
        <v>16052.047058823529</v>
      </c>
      <c r="O70" s="238">
        <f t="shared" si="14"/>
        <v>95961.600000000035</v>
      </c>
      <c r="P70" s="238">
        <f t="shared" si="15"/>
        <v>58974.400000000001</v>
      </c>
      <c r="Q70" s="301">
        <f t="shared" si="16"/>
        <v>12794.880000000001</v>
      </c>
      <c r="S70" s="238">
        <f t="shared" si="17"/>
        <v>20861.309943115604</v>
      </c>
      <c r="U70" s="238">
        <v>74510</v>
      </c>
      <c r="V70" s="336">
        <f t="shared" si="21"/>
        <v>413.94444444444446</v>
      </c>
      <c r="X70" s="49"/>
    </row>
    <row r="71" spans="2:24">
      <c r="B71" s="330">
        <v>210</v>
      </c>
      <c r="C71" s="31" t="s">
        <v>139</v>
      </c>
      <c r="D71" s="31">
        <v>28</v>
      </c>
      <c r="E71" s="34">
        <v>64000</v>
      </c>
      <c r="F71" s="34">
        <f t="shared" si="18"/>
        <v>67200</v>
      </c>
      <c r="G71" s="34">
        <f t="shared" si="19"/>
        <v>68544</v>
      </c>
      <c r="H71" s="293">
        <f t="shared" si="20"/>
        <v>1919232</v>
      </c>
      <c r="J71" s="213">
        <v>15000</v>
      </c>
      <c r="L71" s="295">
        <f t="shared" si="12"/>
        <v>368846.4</v>
      </c>
      <c r="M71" s="293">
        <f t="shared" si="5"/>
        <v>20491.466666666667</v>
      </c>
      <c r="N71" s="282">
        <f t="shared" si="13"/>
        <v>16052.047058823529</v>
      </c>
      <c r="O71" s="238">
        <f t="shared" si="14"/>
        <v>95961.600000000035</v>
      </c>
      <c r="P71" s="238">
        <f t="shared" si="15"/>
        <v>58974.400000000001</v>
      </c>
      <c r="Q71" s="301">
        <f t="shared" si="16"/>
        <v>12794.880000000001</v>
      </c>
      <c r="S71" s="238">
        <f t="shared" si="17"/>
        <v>20861.309943115604</v>
      </c>
      <c r="U71" s="238">
        <v>74510</v>
      </c>
      <c r="V71" s="336">
        <f t="shared" si="21"/>
        <v>413.94444444444446</v>
      </c>
      <c r="X71" s="49"/>
    </row>
    <row r="72" spans="2:24" ht="12" hidden="1" customHeight="1">
      <c r="B72" s="330">
        <v>211</v>
      </c>
      <c r="C72" s="31" t="s">
        <v>143</v>
      </c>
      <c r="D72" s="31">
        <v>28</v>
      </c>
      <c r="E72" s="34">
        <v>67000</v>
      </c>
      <c r="F72" s="34">
        <f t="shared" si="18"/>
        <v>70350</v>
      </c>
      <c r="G72" s="34">
        <f t="shared" si="19"/>
        <v>71757</v>
      </c>
      <c r="H72" s="293">
        <f t="shared" si="20"/>
        <v>2009196</v>
      </c>
      <c r="J72" s="213">
        <v>15000</v>
      </c>
      <c r="L72" s="295">
        <f t="shared" si="12"/>
        <v>386839.2</v>
      </c>
      <c r="M72" s="293">
        <f t="shared" si="5"/>
        <v>21491.066666666666</v>
      </c>
      <c r="N72" s="282">
        <f t="shared" si="13"/>
        <v>16845.847058823529</v>
      </c>
      <c r="O72" s="238">
        <f t="shared" si="14"/>
        <v>100459.80000000005</v>
      </c>
      <c r="P72" s="238">
        <f t="shared" si="15"/>
        <v>61973.200000000004</v>
      </c>
      <c r="Q72" s="301">
        <f t="shared" si="16"/>
        <v>13394.640000000001</v>
      </c>
      <c r="S72" s="238">
        <f t="shared" si="17"/>
        <v>21405.835756421369</v>
      </c>
      <c r="U72" s="238"/>
      <c r="V72" s="336">
        <f t="shared" si="21"/>
        <v>0</v>
      </c>
      <c r="X72" s="49"/>
    </row>
    <row r="73" spans="2:24" ht="12" hidden="1" customHeight="1">
      <c r="B73" s="330">
        <v>212</v>
      </c>
      <c r="C73" s="31" t="s">
        <v>191</v>
      </c>
      <c r="D73" s="31">
        <v>28</v>
      </c>
      <c r="E73" s="34">
        <v>68500</v>
      </c>
      <c r="F73" s="34">
        <f t="shared" si="18"/>
        <v>71925</v>
      </c>
      <c r="G73" s="34">
        <f t="shared" si="19"/>
        <v>73363.5</v>
      </c>
      <c r="H73" s="293">
        <f t="shared" si="20"/>
        <v>2054178</v>
      </c>
      <c r="J73" s="213">
        <v>15000</v>
      </c>
      <c r="L73" s="295">
        <f t="shared" si="12"/>
        <v>395835.60000000003</v>
      </c>
      <c r="M73" s="293">
        <f t="shared" si="5"/>
        <v>21990.866666666669</v>
      </c>
      <c r="N73" s="282">
        <f t="shared" si="13"/>
        <v>17242.74705882353</v>
      </c>
      <c r="O73" s="238">
        <f t="shared" si="14"/>
        <v>102708.90000000002</v>
      </c>
      <c r="P73" s="238">
        <f t="shared" si="15"/>
        <v>63472.600000000006</v>
      </c>
      <c r="Q73" s="301">
        <f t="shared" si="16"/>
        <v>13694.52</v>
      </c>
      <c r="S73" s="238">
        <f t="shared" si="17"/>
        <v>21885.070885296474</v>
      </c>
      <c r="U73" s="238"/>
      <c r="V73" s="336">
        <f t="shared" si="21"/>
        <v>0</v>
      </c>
      <c r="X73" s="49"/>
    </row>
    <row r="74" spans="2:24">
      <c r="B74" s="330">
        <v>213</v>
      </c>
      <c r="C74" s="31" t="s">
        <v>143</v>
      </c>
      <c r="D74" s="31">
        <v>28</v>
      </c>
      <c r="E74" s="34">
        <v>67000</v>
      </c>
      <c r="F74" s="34">
        <f t="shared" si="18"/>
        <v>70350</v>
      </c>
      <c r="G74" s="34">
        <f t="shared" si="19"/>
        <v>71757</v>
      </c>
      <c r="H74" s="293">
        <f t="shared" si="20"/>
        <v>2009196</v>
      </c>
      <c r="J74" s="213">
        <v>15000</v>
      </c>
      <c r="L74" s="295">
        <f t="shared" si="12"/>
        <v>386839.2</v>
      </c>
      <c r="M74" s="293">
        <f t="shared" si="5"/>
        <v>21491.066666666666</v>
      </c>
      <c r="N74" s="282">
        <f t="shared" si="13"/>
        <v>16845.847058823529</v>
      </c>
      <c r="O74" s="238">
        <f t="shared" si="14"/>
        <v>100459.80000000005</v>
      </c>
      <c r="P74" s="238">
        <f t="shared" si="15"/>
        <v>61973.200000000004</v>
      </c>
      <c r="Q74" s="301">
        <f t="shared" si="16"/>
        <v>13394.640000000001</v>
      </c>
      <c r="S74" s="238">
        <f t="shared" si="17"/>
        <v>21836.024645310259</v>
      </c>
      <c r="U74" s="238">
        <v>77434</v>
      </c>
      <c r="V74" s="336">
        <f t="shared" si="21"/>
        <v>430.18888888888887</v>
      </c>
      <c r="X74" s="49"/>
    </row>
    <row r="75" spans="2:24" ht="12" hidden="1" customHeight="1">
      <c r="B75" s="330">
        <v>214</v>
      </c>
      <c r="C75" s="31" t="s">
        <v>191</v>
      </c>
      <c r="D75" s="31">
        <v>28</v>
      </c>
      <c r="E75" s="34">
        <v>68500</v>
      </c>
      <c r="F75" s="34">
        <f t="shared" si="18"/>
        <v>71925</v>
      </c>
      <c r="G75" s="34">
        <f t="shared" si="19"/>
        <v>73363.5</v>
      </c>
      <c r="H75" s="293">
        <f t="shared" si="20"/>
        <v>2054178</v>
      </c>
      <c r="J75" s="213">
        <v>15000</v>
      </c>
      <c r="L75" s="295">
        <f t="shared" si="12"/>
        <v>395835.60000000003</v>
      </c>
      <c r="M75" s="293">
        <f t="shared" si="5"/>
        <v>21990.866666666669</v>
      </c>
      <c r="N75" s="282">
        <f t="shared" si="13"/>
        <v>17242.74705882353</v>
      </c>
      <c r="O75" s="238">
        <f t="shared" si="14"/>
        <v>102708.90000000002</v>
      </c>
      <c r="P75" s="238">
        <f t="shared" si="15"/>
        <v>63472.600000000006</v>
      </c>
      <c r="Q75" s="301">
        <f t="shared" si="16"/>
        <v>13694.52</v>
      </c>
      <c r="S75" s="238">
        <f t="shared" si="17"/>
        <v>21885.070885296474</v>
      </c>
      <c r="U75" s="238"/>
      <c r="V75" s="336">
        <f t="shared" si="21"/>
        <v>0</v>
      </c>
      <c r="X75" s="49"/>
    </row>
    <row r="76" spans="2:24">
      <c r="B76" s="330">
        <v>215</v>
      </c>
      <c r="C76" s="31" t="s">
        <v>139</v>
      </c>
      <c r="D76" s="31">
        <v>28</v>
      </c>
      <c r="E76" s="34">
        <v>64000</v>
      </c>
      <c r="F76" s="34">
        <f t="shared" si="18"/>
        <v>67200</v>
      </c>
      <c r="G76" s="34">
        <f t="shared" si="19"/>
        <v>68544</v>
      </c>
      <c r="H76" s="293">
        <f t="shared" si="20"/>
        <v>1919232</v>
      </c>
      <c r="J76" s="213">
        <v>15000</v>
      </c>
      <c r="L76" s="295">
        <f t="shared" si="12"/>
        <v>368846.4</v>
      </c>
      <c r="M76" s="293">
        <f t="shared" si="5"/>
        <v>20491.466666666667</v>
      </c>
      <c r="N76" s="282">
        <f t="shared" si="13"/>
        <v>16052.047058823529</v>
      </c>
      <c r="O76" s="238">
        <f t="shared" si="14"/>
        <v>95961.600000000035</v>
      </c>
      <c r="P76" s="238">
        <f t="shared" si="15"/>
        <v>58974.400000000001</v>
      </c>
      <c r="Q76" s="301">
        <f t="shared" si="16"/>
        <v>12794.880000000001</v>
      </c>
      <c r="S76" s="238">
        <f t="shared" si="17"/>
        <v>20861.309943115604</v>
      </c>
      <c r="U76" s="238">
        <f>U71</f>
        <v>74510</v>
      </c>
      <c r="V76" s="336">
        <f t="shared" si="21"/>
        <v>413.94444444444446</v>
      </c>
      <c r="X76" s="49"/>
    </row>
    <row r="77" spans="2:24">
      <c r="B77" s="330">
        <v>216</v>
      </c>
      <c r="C77" s="31" t="s">
        <v>139</v>
      </c>
      <c r="D77" s="31">
        <v>28</v>
      </c>
      <c r="E77" s="34">
        <v>64000</v>
      </c>
      <c r="F77" s="34">
        <f t="shared" ref="F77:F101" si="22">E77*1.05</f>
        <v>67200</v>
      </c>
      <c r="G77" s="34">
        <f t="shared" ref="G77:G101" si="23">F77*1.02</f>
        <v>68544</v>
      </c>
      <c r="H77" s="293">
        <f t="shared" ref="H77:H101" si="24">G77*D77</f>
        <v>1919232</v>
      </c>
      <c r="J77" s="213">
        <v>15000</v>
      </c>
      <c r="L77" s="295">
        <f t="shared" si="12"/>
        <v>368846.4</v>
      </c>
      <c r="M77" s="293">
        <f t="shared" si="5"/>
        <v>20491.466666666667</v>
      </c>
      <c r="N77" s="282">
        <f t="shared" si="13"/>
        <v>16052.047058823529</v>
      </c>
      <c r="O77" s="238">
        <f t="shared" si="14"/>
        <v>95961.600000000035</v>
      </c>
      <c r="P77" s="238">
        <f t="shared" si="15"/>
        <v>58974.400000000001</v>
      </c>
      <c r="Q77" s="301">
        <f t="shared" si="16"/>
        <v>12794.880000000001</v>
      </c>
      <c r="S77" s="238">
        <f t="shared" si="17"/>
        <v>20861.309943115604</v>
      </c>
      <c r="U77" s="238">
        <f>U69</f>
        <v>74510</v>
      </c>
      <c r="V77" s="336">
        <f t="shared" ref="V77:V101" si="25">U77/180</f>
        <v>413.94444444444446</v>
      </c>
      <c r="X77" s="49"/>
    </row>
    <row r="78" spans="2:24">
      <c r="B78" s="330">
        <v>217</v>
      </c>
      <c r="C78" s="31" t="s">
        <v>139</v>
      </c>
      <c r="D78" s="31">
        <v>28</v>
      </c>
      <c r="E78" s="34">
        <v>64000</v>
      </c>
      <c r="F78" s="34">
        <f t="shared" si="22"/>
        <v>67200</v>
      </c>
      <c r="G78" s="34">
        <f t="shared" si="23"/>
        <v>68544</v>
      </c>
      <c r="H78" s="293">
        <f t="shared" si="24"/>
        <v>1919232</v>
      </c>
      <c r="J78" s="213">
        <v>15000</v>
      </c>
      <c r="L78" s="295">
        <f t="shared" si="12"/>
        <v>368846.4</v>
      </c>
      <c r="M78" s="293">
        <f t="shared" ref="M78:M101" si="26">L78/18</f>
        <v>20491.466666666667</v>
      </c>
      <c r="N78" s="282">
        <f t="shared" si="13"/>
        <v>16052.047058823529</v>
      </c>
      <c r="O78" s="238">
        <f t="shared" si="14"/>
        <v>95961.600000000035</v>
      </c>
      <c r="P78" s="238">
        <f t="shared" si="15"/>
        <v>58974.400000000001</v>
      </c>
      <c r="Q78" s="301">
        <f t="shared" si="16"/>
        <v>12794.880000000001</v>
      </c>
      <c r="S78" s="238">
        <f t="shared" si="17"/>
        <v>20861.309943115604</v>
      </c>
      <c r="U78" s="238">
        <f>U77</f>
        <v>74510</v>
      </c>
      <c r="V78" s="336">
        <f t="shared" si="25"/>
        <v>413.94444444444446</v>
      </c>
      <c r="X78" s="49"/>
    </row>
    <row r="79" spans="2:24">
      <c r="B79" s="330">
        <v>218</v>
      </c>
      <c r="C79" s="31" t="s">
        <v>139</v>
      </c>
      <c r="D79" s="31">
        <v>28</v>
      </c>
      <c r="E79" s="34">
        <v>64000</v>
      </c>
      <c r="F79" s="34">
        <f t="shared" si="22"/>
        <v>67200</v>
      </c>
      <c r="G79" s="34">
        <f t="shared" si="23"/>
        <v>68544</v>
      </c>
      <c r="H79" s="293">
        <f t="shared" si="24"/>
        <v>1919232</v>
      </c>
      <c r="J79" s="213">
        <v>15000</v>
      </c>
      <c r="L79" s="295">
        <f t="shared" si="12"/>
        <v>368846.4</v>
      </c>
      <c r="M79" s="293">
        <f t="shared" si="26"/>
        <v>20491.466666666667</v>
      </c>
      <c r="N79" s="282">
        <f t="shared" si="13"/>
        <v>16052.047058823529</v>
      </c>
      <c r="O79" s="238">
        <f t="shared" si="14"/>
        <v>95961.600000000035</v>
      </c>
      <c r="P79" s="238">
        <f t="shared" si="15"/>
        <v>58974.400000000001</v>
      </c>
      <c r="Q79" s="301">
        <f t="shared" si="16"/>
        <v>12794.880000000001</v>
      </c>
      <c r="S79" s="238">
        <f t="shared" si="17"/>
        <v>20877.554387560049</v>
      </c>
      <c r="U79" s="238">
        <f t="shared" ref="U79" si="27">U74</f>
        <v>77434</v>
      </c>
      <c r="V79" s="336">
        <f t="shared" si="25"/>
        <v>430.18888888888887</v>
      </c>
      <c r="X79" s="49"/>
    </row>
    <row r="80" spans="2:24" ht="11.25" customHeight="1">
      <c r="B80" s="330">
        <v>219</v>
      </c>
      <c r="C80" s="31" t="s">
        <v>143</v>
      </c>
      <c r="D80" s="31">
        <v>28</v>
      </c>
      <c r="E80" s="34">
        <v>67000</v>
      </c>
      <c r="F80" s="34">
        <f t="shared" si="22"/>
        <v>70350</v>
      </c>
      <c r="G80" s="34">
        <f t="shared" si="23"/>
        <v>71757</v>
      </c>
      <c r="H80" s="293">
        <f t="shared" si="24"/>
        <v>2009196</v>
      </c>
      <c r="J80" s="213">
        <v>15000</v>
      </c>
      <c r="L80" s="295">
        <f t="shared" si="12"/>
        <v>386839.2</v>
      </c>
      <c r="M80" s="293">
        <f t="shared" si="26"/>
        <v>21491.066666666666</v>
      </c>
      <c r="N80" s="282">
        <f t="shared" si="13"/>
        <v>16845.847058823529</v>
      </c>
      <c r="O80" s="238">
        <f t="shared" si="14"/>
        <v>100459.80000000005</v>
      </c>
      <c r="P80" s="238">
        <f t="shared" si="15"/>
        <v>61973.200000000004</v>
      </c>
      <c r="Q80" s="301">
        <f t="shared" si="16"/>
        <v>13394.640000000001</v>
      </c>
      <c r="S80" s="238">
        <f t="shared" si="17"/>
        <v>21836.024645310259</v>
      </c>
      <c r="U80" s="238">
        <f>U74</f>
        <v>77434</v>
      </c>
      <c r="V80" s="336">
        <f t="shared" si="25"/>
        <v>430.18888888888887</v>
      </c>
      <c r="X80" s="49"/>
    </row>
    <row r="81" spans="2:24" ht="12" hidden="1" customHeight="1">
      <c r="B81" s="330">
        <v>220</v>
      </c>
      <c r="C81" s="31" t="s">
        <v>142</v>
      </c>
      <c r="D81" s="31">
        <v>28</v>
      </c>
      <c r="E81" s="34">
        <v>70000</v>
      </c>
      <c r="F81" s="34">
        <f t="shared" si="22"/>
        <v>73500</v>
      </c>
      <c r="G81" s="34">
        <f t="shared" si="23"/>
        <v>74970</v>
      </c>
      <c r="H81" s="293">
        <f t="shared" si="24"/>
        <v>2099160</v>
      </c>
      <c r="J81" s="213">
        <v>15000</v>
      </c>
      <c r="L81" s="295">
        <f t="shared" si="12"/>
        <v>404832</v>
      </c>
      <c r="M81" s="293">
        <f t="shared" si="26"/>
        <v>22490.666666666668</v>
      </c>
      <c r="N81" s="282">
        <f t="shared" si="13"/>
        <v>17639.647058823528</v>
      </c>
      <c r="O81" s="238">
        <f t="shared" si="14"/>
        <v>104958</v>
      </c>
      <c r="P81" s="238">
        <f t="shared" si="15"/>
        <v>64972</v>
      </c>
      <c r="Q81" s="301">
        <f t="shared" si="16"/>
        <v>13994.4</v>
      </c>
      <c r="S81" s="238">
        <f t="shared" si="17"/>
        <v>22364.30601417158</v>
      </c>
      <c r="U81" s="238"/>
      <c r="V81" s="336">
        <f t="shared" si="25"/>
        <v>0</v>
      </c>
      <c r="X81" s="49"/>
    </row>
    <row r="82" spans="2:24" ht="12" hidden="1" customHeight="1">
      <c r="B82" s="330">
        <v>221</v>
      </c>
      <c r="C82" s="31" t="s">
        <v>143</v>
      </c>
      <c r="D82" s="31">
        <v>28</v>
      </c>
      <c r="E82" s="34">
        <v>67000</v>
      </c>
      <c r="F82" s="34">
        <f t="shared" si="22"/>
        <v>70350</v>
      </c>
      <c r="G82" s="34">
        <f t="shared" si="23"/>
        <v>71757</v>
      </c>
      <c r="H82" s="293">
        <f t="shared" si="24"/>
        <v>2009196</v>
      </c>
      <c r="J82" s="213">
        <v>15000</v>
      </c>
      <c r="L82" s="295">
        <f t="shared" si="12"/>
        <v>386839.2</v>
      </c>
      <c r="M82" s="293">
        <f t="shared" si="26"/>
        <v>21491.066666666666</v>
      </c>
      <c r="N82" s="282">
        <f t="shared" si="13"/>
        <v>16845.847058823529</v>
      </c>
      <c r="O82" s="238">
        <f t="shared" si="14"/>
        <v>100459.80000000005</v>
      </c>
      <c r="P82" s="238">
        <f t="shared" si="15"/>
        <v>61973.200000000004</v>
      </c>
      <c r="Q82" s="301">
        <f t="shared" si="16"/>
        <v>13394.640000000001</v>
      </c>
      <c r="S82" s="238">
        <f t="shared" si="17"/>
        <v>21405.835756421369</v>
      </c>
      <c r="U82" s="238"/>
      <c r="V82" s="336">
        <f t="shared" si="25"/>
        <v>0</v>
      </c>
      <c r="X82" s="49"/>
    </row>
    <row r="83" spans="2:24" ht="12" hidden="1" customHeight="1">
      <c r="B83" s="330">
        <v>222</v>
      </c>
      <c r="C83" s="31" t="s">
        <v>142</v>
      </c>
      <c r="D83" s="31">
        <v>28</v>
      </c>
      <c r="E83" s="34">
        <v>70000</v>
      </c>
      <c r="F83" s="34">
        <f t="shared" si="22"/>
        <v>73500</v>
      </c>
      <c r="G83" s="34">
        <f t="shared" si="23"/>
        <v>74970</v>
      </c>
      <c r="H83" s="293">
        <f t="shared" si="24"/>
        <v>2099160</v>
      </c>
      <c r="J83" s="213">
        <v>15000</v>
      </c>
      <c r="L83" s="295">
        <f t="shared" si="12"/>
        <v>404832</v>
      </c>
      <c r="M83" s="293">
        <f t="shared" si="26"/>
        <v>22490.666666666668</v>
      </c>
      <c r="N83" s="282">
        <f t="shared" si="13"/>
        <v>17639.647058823528</v>
      </c>
      <c r="O83" s="238">
        <f t="shared" si="14"/>
        <v>104958</v>
      </c>
      <c r="P83" s="238">
        <f t="shared" si="15"/>
        <v>64972</v>
      </c>
      <c r="Q83" s="301">
        <f t="shared" si="16"/>
        <v>13994.4</v>
      </c>
      <c r="S83" s="238">
        <f t="shared" si="17"/>
        <v>22364.30601417158</v>
      </c>
      <c r="U83" s="238"/>
      <c r="V83" s="336">
        <f t="shared" si="25"/>
        <v>0</v>
      </c>
      <c r="X83" s="49"/>
    </row>
    <row r="84" spans="2:24">
      <c r="B84" s="330">
        <v>223</v>
      </c>
      <c r="C84" s="31" t="s">
        <v>137</v>
      </c>
      <c r="D84" s="31">
        <v>28</v>
      </c>
      <c r="E84" s="34">
        <v>65500</v>
      </c>
      <c r="F84" s="34">
        <f t="shared" si="22"/>
        <v>68775</v>
      </c>
      <c r="G84" s="34">
        <f t="shared" si="23"/>
        <v>70150.5</v>
      </c>
      <c r="H84" s="293">
        <f t="shared" si="24"/>
        <v>1964214</v>
      </c>
      <c r="J84" s="213">
        <v>15000</v>
      </c>
      <c r="L84" s="295">
        <f t="shared" si="12"/>
        <v>377842.80000000005</v>
      </c>
      <c r="M84" s="293">
        <f t="shared" si="26"/>
        <v>20991.26666666667</v>
      </c>
      <c r="N84" s="282">
        <f t="shared" si="13"/>
        <v>16448.947058823527</v>
      </c>
      <c r="O84" s="238">
        <f t="shared" si="14"/>
        <v>98210.70000000007</v>
      </c>
      <c r="P84" s="238">
        <f t="shared" si="15"/>
        <v>60473.80000000001</v>
      </c>
      <c r="Q84" s="301">
        <f t="shared" si="16"/>
        <v>13094.760000000002</v>
      </c>
      <c r="S84" s="238">
        <f t="shared" si="17"/>
        <v>21348.66729421293</v>
      </c>
      <c r="U84" s="238">
        <v>75972</v>
      </c>
      <c r="V84" s="336">
        <f t="shared" si="25"/>
        <v>422.06666666666666</v>
      </c>
      <c r="X84" s="49"/>
    </row>
    <row r="85" spans="2:24">
      <c r="B85" s="330">
        <v>224</v>
      </c>
      <c r="C85" s="31" t="s">
        <v>137</v>
      </c>
      <c r="D85" s="31">
        <v>28</v>
      </c>
      <c r="E85" s="34">
        <v>65500</v>
      </c>
      <c r="F85" s="34">
        <f t="shared" si="22"/>
        <v>68775</v>
      </c>
      <c r="G85" s="34">
        <f t="shared" si="23"/>
        <v>70150.5</v>
      </c>
      <c r="H85" s="293">
        <f t="shared" si="24"/>
        <v>1964214</v>
      </c>
      <c r="J85" s="213">
        <v>15000</v>
      </c>
      <c r="L85" s="295">
        <f t="shared" si="12"/>
        <v>377842.80000000005</v>
      </c>
      <c r="M85" s="293">
        <f t="shared" si="26"/>
        <v>20991.26666666667</v>
      </c>
      <c r="N85" s="282">
        <f t="shared" si="13"/>
        <v>16448.947058823527</v>
      </c>
      <c r="O85" s="238">
        <f t="shared" si="14"/>
        <v>98210.70000000007</v>
      </c>
      <c r="P85" s="238">
        <f t="shared" si="15"/>
        <v>60473.80000000001</v>
      </c>
      <c r="Q85" s="301">
        <f t="shared" si="16"/>
        <v>13094.760000000002</v>
      </c>
      <c r="S85" s="238">
        <f t="shared" si="17"/>
        <v>21348.66729421293</v>
      </c>
      <c r="U85" s="238">
        <v>75972</v>
      </c>
      <c r="V85" s="336">
        <f t="shared" si="25"/>
        <v>422.06666666666666</v>
      </c>
      <c r="X85" s="49"/>
    </row>
    <row r="86" spans="2:24" s="105" customFormat="1" ht="12" customHeight="1">
      <c r="B86" s="330">
        <v>301</v>
      </c>
      <c r="C86" s="31" t="s">
        <v>139</v>
      </c>
      <c r="D86" s="31">
        <v>28</v>
      </c>
      <c r="E86" s="34">
        <v>65000</v>
      </c>
      <c r="F86" s="34">
        <f t="shared" si="22"/>
        <v>68250</v>
      </c>
      <c r="G86" s="34">
        <f t="shared" si="23"/>
        <v>69615</v>
      </c>
      <c r="H86" s="293">
        <f t="shared" si="24"/>
        <v>1949220</v>
      </c>
      <c r="I86" s="103"/>
      <c r="J86" s="213">
        <v>15000</v>
      </c>
      <c r="K86" s="87"/>
      <c r="L86" s="295">
        <f t="shared" si="12"/>
        <v>374844</v>
      </c>
      <c r="M86" s="293">
        <f t="shared" si="26"/>
        <v>20824.666666666668</v>
      </c>
      <c r="N86" s="282">
        <f t="shared" si="13"/>
        <v>16316.64705882353</v>
      </c>
      <c r="O86" s="238">
        <f t="shared" si="14"/>
        <v>97461</v>
      </c>
      <c r="P86" s="238">
        <f t="shared" si="15"/>
        <v>59974</v>
      </c>
      <c r="Q86" s="301">
        <f t="shared" si="16"/>
        <v>12994.8</v>
      </c>
      <c r="R86" s="82"/>
      <c r="S86" s="238">
        <f t="shared" si="17"/>
        <v>21186.216695699004</v>
      </c>
      <c r="T86" s="82"/>
      <c r="U86" s="238">
        <v>75485</v>
      </c>
      <c r="V86" s="336">
        <f t="shared" si="25"/>
        <v>419.36111111111109</v>
      </c>
      <c r="W86" s="104"/>
      <c r="X86" s="49"/>
    </row>
    <row r="87" spans="2:24">
      <c r="B87" s="330">
        <v>302</v>
      </c>
      <c r="C87" s="31" t="s">
        <v>139</v>
      </c>
      <c r="D87" s="31">
        <v>28</v>
      </c>
      <c r="E87" s="34">
        <v>65000</v>
      </c>
      <c r="F87" s="34">
        <f t="shared" si="22"/>
        <v>68250</v>
      </c>
      <c r="G87" s="34">
        <f t="shared" si="23"/>
        <v>69615</v>
      </c>
      <c r="H87" s="293">
        <f t="shared" si="24"/>
        <v>1949220</v>
      </c>
      <c r="J87" s="213">
        <v>15000</v>
      </c>
      <c r="L87" s="295">
        <f t="shared" si="12"/>
        <v>374844</v>
      </c>
      <c r="M87" s="293">
        <f t="shared" si="26"/>
        <v>20824.666666666668</v>
      </c>
      <c r="N87" s="282">
        <f t="shared" si="13"/>
        <v>16316.64705882353</v>
      </c>
      <c r="O87" s="238">
        <f t="shared" si="14"/>
        <v>97461</v>
      </c>
      <c r="P87" s="238">
        <f t="shared" si="15"/>
        <v>59974</v>
      </c>
      <c r="Q87" s="301">
        <f t="shared" si="16"/>
        <v>12994.8</v>
      </c>
      <c r="S87" s="238">
        <f t="shared" si="17"/>
        <v>21186.216695699004</v>
      </c>
      <c r="U87" s="238">
        <v>75485</v>
      </c>
      <c r="V87" s="336">
        <f t="shared" si="25"/>
        <v>419.36111111111109</v>
      </c>
      <c r="X87" s="49"/>
    </row>
    <row r="88" spans="2:24" ht="12" hidden="1" customHeight="1">
      <c r="B88" s="330">
        <v>303</v>
      </c>
      <c r="C88" s="31" t="s">
        <v>143</v>
      </c>
      <c r="D88" s="31">
        <v>28</v>
      </c>
      <c r="E88" s="34">
        <v>68000</v>
      </c>
      <c r="F88" s="34">
        <f t="shared" si="22"/>
        <v>71400</v>
      </c>
      <c r="G88" s="34">
        <f t="shared" si="23"/>
        <v>72828</v>
      </c>
      <c r="H88" s="293">
        <f t="shared" si="24"/>
        <v>2039184</v>
      </c>
      <c r="J88" s="213">
        <v>15000</v>
      </c>
      <c r="L88" s="295">
        <f t="shared" si="12"/>
        <v>392836.80000000005</v>
      </c>
      <c r="M88" s="293">
        <f t="shared" si="26"/>
        <v>21824.26666666667</v>
      </c>
      <c r="N88" s="282">
        <f t="shared" si="13"/>
        <v>17110.447058823527</v>
      </c>
      <c r="O88" s="238">
        <f t="shared" si="14"/>
        <v>101959.20000000007</v>
      </c>
      <c r="P88" s="238">
        <f t="shared" si="15"/>
        <v>62972.80000000001</v>
      </c>
      <c r="Q88" s="301">
        <f t="shared" si="16"/>
        <v>13594.560000000001</v>
      </c>
      <c r="S88" s="238">
        <f t="shared" si="17"/>
        <v>21725.325842338108</v>
      </c>
      <c r="U88" s="238"/>
      <c r="V88" s="336">
        <f t="shared" si="25"/>
        <v>0</v>
      </c>
      <c r="X88" s="49"/>
    </row>
    <row r="89" spans="2:24">
      <c r="B89" s="330">
        <v>304</v>
      </c>
      <c r="C89" s="31" t="s">
        <v>191</v>
      </c>
      <c r="D89" s="31">
        <v>28</v>
      </c>
      <c r="E89" s="34">
        <v>69500</v>
      </c>
      <c r="F89" s="34">
        <f t="shared" si="22"/>
        <v>72975</v>
      </c>
      <c r="G89" s="34">
        <f t="shared" si="23"/>
        <v>74434.5</v>
      </c>
      <c r="H89" s="293">
        <f t="shared" si="24"/>
        <v>2084166</v>
      </c>
      <c r="J89" s="213">
        <v>15000</v>
      </c>
      <c r="L89" s="295">
        <f t="shared" si="12"/>
        <v>401833.2</v>
      </c>
      <c r="M89" s="293">
        <f t="shared" si="26"/>
        <v>22324.066666666666</v>
      </c>
      <c r="N89" s="282">
        <f t="shared" si="13"/>
        <v>17507.347058823529</v>
      </c>
      <c r="O89" s="238">
        <f t="shared" si="14"/>
        <v>104208.30000000005</v>
      </c>
      <c r="P89" s="238">
        <f t="shared" si="15"/>
        <v>64472.200000000004</v>
      </c>
      <c r="Q89" s="301">
        <f t="shared" si="16"/>
        <v>13894.44</v>
      </c>
      <c r="S89" s="238">
        <f t="shared" si="17"/>
        <v>22648.283193435433</v>
      </c>
      <c r="U89" s="238">
        <v>79870</v>
      </c>
      <c r="V89" s="336">
        <f t="shared" si="25"/>
        <v>443.72222222222223</v>
      </c>
      <c r="X89" s="49"/>
    </row>
    <row r="90" spans="2:24" ht="12" hidden="1" customHeight="1">
      <c r="B90" s="330">
        <v>305</v>
      </c>
      <c r="C90" s="31" t="s">
        <v>143</v>
      </c>
      <c r="D90" s="31">
        <v>28</v>
      </c>
      <c r="E90" s="34">
        <v>68000</v>
      </c>
      <c r="F90" s="34">
        <f t="shared" si="22"/>
        <v>71400</v>
      </c>
      <c r="G90" s="34">
        <f t="shared" si="23"/>
        <v>72828</v>
      </c>
      <c r="H90" s="293">
        <f t="shared" si="24"/>
        <v>2039184</v>
      </c>
      <c r="J90" s="213">
        <v>15000</v>
      </c>
      <c r="L90" s="295">
        <f t="shared" si="12"/>
        <v>392836.80000000005</v>
      </c>
      <c r="M90" s="293">
        <f t="shared" si="26"/>
        <v>21824.26666666667</v>
      </c>
      <c r="N90" s="282">
        <f t="shared" si="13"/>
        <v>17110.447058823527</v>
      </c>
      <c r="O90" s="238">
        <f t="shared" si="14"/>
        <v>101959.20000000007</v>
      </c>
      <c r="P90" s="238">
        <f t="shared" si="15"/>
        <v>62972.80000000001</v>
      </c>
      <c r="Q90" s="301">
        <f t="shared" si="16"/>
        <v>13594.560000000001</v>
      </c>
      <c r="S90" s="238">
        <f t="shared" si="17"/>
        <v>21725.325842338108</v>
      </c>
      <c r="U90" s="238"/>
      <c r="V90" s="336">
        <f t="shared" si="25"/>
        <v>0</v>
      </c>
      <c r="X90" s="49"/>
    </row>
    <row r="91" spans="2:24" ht="12" hidden="1" customHeight="1">
      <c r="B91" s="330">
        <v>306</v>
      </c>
      <c r="C91" s="31" t="s">
        <v>191</v>
      </c>
      <c r="D91" s="31">
        <v>28</v>
      </c>
      <c r="E91" s="34">
        <v>69500</v>
      </c>
      <c r="F91" s="34">
        <f t="shared" si="22"/>
        <v>72975</v>
      </c>
      <c r="G91" s="34">
        <f t="shared" si="23"/>
        <v>74434.5</v>
      </c>
      <c r="H91" s="293">
        <f t="shared" si="24"/>
        <v>2084166</v>
      </c>
      <c r="J91" s="213">
        <v>15000</v>
      </c>
      <c r="L91" s="295">
        <f t="shared" si="12"/>
        <v>401833.2</v>
      </c>
      <c r="M91" s="293">
        <f t="shared" si="26"/>
        <v>22324.066666666666</v>
      </c>
      <c r="N91" s="282">
        <f t="shared" si="13"/>
        <v>17507.347058823529</v>
      </c>
      <c r="O91" s="238">
        <f t="shared" si="14"/>
        <v>104208.30000000005</v>
      </c>
      <c r="P91" s="238">
        <f t="shared" si="15"/>
        <v>64472.200000000004</v>
      </c>
      <c r="Q91" s="301">
        <f t="shared" si="16"/>
        <v>13894.44</v>
      </c>
      <c r="S91" s="238">
        <f t="shared" si="17"/>
        <v>22204.56097121321</v>
      </c>
      <c r="U91" s="238"/>
      <c r="V91" s="336">
        <f t="shared" si="25"/>
        <v>0</v>
      </c>
      <c r="X91" s="49"/>
    </row>
    <row r="92" spans="2:24">
      <c r="B92" s="330">
        <v>307</v>
      </c>
      <c r="C92" s="31" t="s">
        <v>139</v>
      </c>
      <c r="D92" s="31">
        <v>28</v>
      </c>
      <c r="E92" s="34">
        <v>65000</v>
      </c>
      <c r="F92" s="34">
        <f t="shared" si="22"/>
        <v>68250</v>
      </c>
      <c r="G92" s="34">
        <f t="shared" si="23"/>
        <v>69615</v>
      </c>
      <c r="H92" s="293">
        <f t="shared" si="24"/>
        <v>1949220</v>
      </c>
      <c r="J92" s="213">
        <v>15000</v>
      </c>
      <c r="L92" s="295">
        <f t="shared" si="12"/>
        <v>374844</v>
      </c>
      <c r="M92" s="293">
        <f t="shared" si="26"/>
        <v>20824.666666666668</v>
      </c>
      <c r="N92" s="282">
        <f t="shared" si="13"/>
        <v>16316.64705882353</v>
      </c>
      <c r="O92" s="238">
        <f t="shared" si="14"/>
        <v>97461</v>
      </c>
      <c r="P92" s="238">
        <f t="shared" si="15"/>
        <v>59974</v>
      </c>
      <c r="Q92" s="301">
        <f t="shared" si="16"/>
        <v>12994.8</v>
      </c>
      <c r="S92" s="238">
        <f t="shared" si="17"/>
        <v>21186.216695699004</v>
      </c>
      <c r="U92" s="238">
        <f>U87</f>
        <v>75485</v>
      </c>
      <c r="V92" s="336">
        <f t="shared" si="25"/>
        <v>419.36111111111109</v>
      </c>
      <c r="X92" s="49"/>
    </row>
    <row r="93" spans="2:24">
      <c r="B93" s="330">
        <v>308</v>
      </c>
      <c r="C93" s="31" t="s">
        <v>139</v>
      </c>
      <c r="D93" s="31">
        <v>28</v>
      </c>
      <c r="E93" s="34">
        <v>65000</v>
      </c>
      <c r="F93" s="34">
        <f t="shared" si="22"/>
        <v>68250</v>
      </c>
      <c r="G93" s="34">
        <f t="shared" si="23"/>
        <v>69615</v>
      </c>
      <c r="H93" s="293">
        <f t="shared" si="24"/>
        <v>1949220</v>
      </c>
      <c r="J93" s="213">
        <v>15000</v>
      </c>
      <c r="L93" s="295">
        <f t="shared" si="12"/>
        <v>374844</v>
      </c>
      <c r="M93" s="293">
        <f t="shared" si="26"/>
        <v>20824.666666666668</v>
      </c>
      <c r="N93" s="282">
        <f t="shared" si="13"/>
        <v>16316.64705882353</v>
      </c>
      <c r="O93" s="238">
        <f t="shared" si="14"/>
        <v>97461</v>
      </c>
      <c r="P93" s="238">
        <f t="shared" si="15"/>
        <v>59974</v>
      </c>
      <c r="Q93" s="301">
        <f t="shared" si="16"/>
        <v>12994.8</v>
      </c>
      <c r="S93" s="238">
        <f t="shared" si="17"/>
        <v>21186.216695699004</v>
      </c>
      <c r="U93" s="238">
        <f>U92</f>
        <v>75485</v>
      </c>
      <c r="V93" s="336">
        <f t="shared" si="25"/>
        <v>419.36111111111109</v>
      </c>
      <c r="X93" s="49"/>
    </row>
    <row r="94" spans="2:24">
      <c r="B94" s="330">
        <v>309</v>
      </c>
      <c r="C94" s="31" t="s">
        <v>139</v>
      </c>
      <c r="D94" s="31">
        <v>28</v>
      </c>
      <c r="E94" s="34">
        <v>65000</v>
      </c>
      <c r="F94" s="34">
        <f t="shared" si="22"/>
        <v>68250</v>
      </c>
      <c r="G94" s="34">
        <f t="shared" si="23"/>
        <v>69615</v>
      </c>
      <c r="H94" s="293">
        <f t="shared" si="24"/>
        <v>1949220</v>
      </c>
      <c r="J94" s="213">
        <v>15000</v>
      </c>
      <c r="L94" s="295">
        <f t="shared" si="12"/>
        <v>374844</v>
      </c>
      <c r="M94" s="293">
        <f t="shared" si="26"/>
        <v>20824.666666666668</v>
      </c>
      <c r="N94" s="282">
        <f t="shared" si="13"/>
        <v>16316.64705882353</v>
      </c>
      <c r="O94" s="238">
        <f t="shared" si="14"/>
        <v>97461</v>
      </c>
      <c r="P94" s="238">
        <f t="shared" si="15"/>
        <v>59974</v>
      </c>
      <c r="Q94" s="301">
        <f t="shared" si="16"/>
        <v>12994.8</v>
      </c>
      <c r="S94" s="238">
        <f t="shared" si="17"/>
        <v>21186.216695699004</v>
      </c>
      <c r="U94" s="238">
        <f>U93</f>
        <v>75485</v>
      </c>
      <c r="V94" s="336">
        <f t="shared" si="25"/>
        <v>419.36111111111109</v>
      </c>
      <c r="X94" s="49"/>
    </row>
    <row r="95" spans="2:24">
      <c r="B95" s="330">
        <v>310</v>
      </c>
      <c r="C95" s="31" t="s">
        <v>139</v>
      </c>
      <c r="D95" s="31">
        <v>28</v>
      </c>
      <c r="E95" s="34">
        <v>65000</v>
      </c>
      <c r="F95" s="34">
        <f t="shared" si="22"/>
        <v>68250</v>
      </c>
      <c r="G95" s="34">
        <f t="shared" si="23"/>
        <v>69615</v>
      </c>
      <c r="H95" s="293">
        <f t="shared" si="24"/>
        <v>1949220</v>
      </c>
      <c r="J95" s="213">
        <v>15000</v>
      </c>
      <c r="L95" s="295">
        <f t="shared" si="12"/>
        <v>374844</v>
      </c>
      <c r="M95" s="293">
        <f t="shared" si="26"/>
        <v>20824.666666666668</v>
      </c>
      <c r="N95" s="282">
        <f t="shared" si="13"/>
        <v>16316.64705882353</v>
      </c>
      <c r="O95" s="238">
        <f t="shared" si="14"/>
        <v>97461</v>
      </c>
      <c r="P95" s="238">
        <f t="shared" si="15"/>
        <v>59974</v>
      </c>
      <c r="Q95" s="301">
        <f t="shared" si="16"/>
        <v>12994.8</v>
      </c>
      <c r="S95" s="238">
        <f t="shared" si="17"/>
        <v>21186.216695699004</v>
      </c>
      <c r="U95" s="238">
        <f>U94</f>
        <v>75485</v>
      </c>
      <c r="V95" s="336">
        <f t="shared" si="25"/>
        <v>419.36111111111109</v>
      </c>
      <c r="X95" s="49"/>
    </row>
    <row r="96" spans="2:24">
      <c r="B96" s="331">
        <v>311</v>
      </c>
      <c r="C96" s="102" t="s">
        <v>143</v>
      </c>
      <c r="D96" s="102">
        <v>28</v>
      </c>
      <c r="E96" s="264">
        <v>68000</v>
      </c>
      <c r="F96" s="264">
        <f t="shared" si="22"/>
        <v>71400</v>
      </c>
      <c r="G96" s="264">
        <f t="shared" si="23"/>
        <v>72828</v>
      </c>
      <c r="H96" s="291">
        <f t="shared" si="24"/>
        <v>2039184</v>
      </c>
      <c r="J96" s="202">
        <v>15000</v>
      </c>
      <c r="L96" s="296">
        <f t="shared" si="12"/>
        <v>392836.80000000005</v>
      </c>
      <c r="M96" s="291">
        <f t="shared" si="26"/>
        <v>21824.26666666667</v>
      </c>
      <c r="N96" s="283">
        <f t="shared" si="13"/>
        <v>17110.447058823527</v>
      </c>
      <c r="O96" s="239">
        <f t="shared" si="14"/>
        <v>101959.20000000007</v>
      </c>
      <c r="P96" s="239">
        <f t="shared" si="15"/>
        <v>62972.80000000001</v>
      </c>
      <c r="Q96" s="302">
        <f t="shared" si="16"/>
        <v>13594.560000000001</v>
      </c>
      <c r="S96" s="239">
        <f t="shared" si="17"/>
        <v>22160.925842338107</v>
      </c>
      <c r="U96" s="239">
        <v>78408</v>
      </c>
      <c r="V96" s="336">
        <f t="shared" si="25"/>
        <v>435.6</v>
      </c>
      <c r="X96" s="49"/>
    </row>
    <row r="97" spans="2:24" ht="12" hidden="1" customHeight="1">
      <c r="B97" s="101">
        <v>312</v>
      </c>
      <c r="C97" s="101" t="s">
        <v>142</v>
      </c>
      <c r="D97" s="101">
        <v>28</v>
      </c>
      <c r="E97" s="202">
        <v>71000</v>
      </c>
      <c r="F97" s="202">
        <f t="shared" si="22"/>
        <v>74550</v>
      </c>
      <c r="G97" s="202">
        <f t="shared" si="23"/>
        <v>76041</v>
      </c>
      <c r="H97" s="291">
        <f t="shared" si="24"/>
        <v>2129148</v>
      </c>
      <c r="J97" s="202">
        <v>15000</v>
      </c>
      <c r="L97" s="291">
        <f t="shared" si="12"/>
        <v>410829.60000000003</v>
      </c>
      <c r="M97" s="291">
        <f t="shared" si="26"/>
        <v>22823.866666666669</v>
      </c>
      <c r="N97" s="239">
        <f t="shared" si="13"/>
        <v>17904.24705882353</v>
      </c>
      <c r="O97" s="239">
        <f t="shared" si="14"/>
        <v>106457.40000000002</v>
      </c>
      <c r="P97" s="239">
        <f t="shared" si="15"/>
        <v>65971.600000000006</v>
      </c>
      <c r="Q97" s="239">
        <f t="shared" si="16"/>
        <v>14194.320000000002</v>
      </c>
      <c r="S97" s="239">
        <f t="shared" si="17"/>
        <v>23275.226100088315</v>
      </c>
      <c r="U97" s="239">
        <f t="shared" ref="U97:U101" si="28">H97*0.05</f>
        <v>106457.40000000001</v>
      </c>
      <c r="V97" s="46">
        <f t="shared" si="25"/>
        <v>591.43000000000006</v>
      </c>
      <c r="X97" s="49"/>
    </row>
    <row r="98" spans="2:24" ht="12" hidden="1" customHeight="1">
      <c r="B98" s="65">
        <v>313</v>
      </c>
      <c r="C98" s="65" t="s">
        <v>143</v>
      </c>
      <c r="D98" s="65">
        <v>28</v>
      </c>
      <c r="E98" s="47">
        <v>68000</v>
      </c>
      <c r="F98" s="47">
        <f t="shared" si="22"/>
        <v>71400</v>
      </c>
      <c r="G98" s="47">
        <f t="shared" si="23"/>
        <v>72828</v>
      </c>
      <c r="H98" s="86">
        <f t="shared" si="24"/>
        <v>2039184</v>
      </c>
      <c r="J98" s="47">
        <v>15000</v>
      </c>
      <c r="L98" s="86">
        <f t="shared" si="12"/>
        <v>392836.80000000005</v>
      </c>
      <c r="M98" s="86">
        <f t="shared" si="26"/>
        <v>21824.26666666667</v>
      </c>
      <c r="N98" s="274">
        <f t="shared" si="13"/>
        <v>17110.447058823527</v>
      </c>
      <c r="O98" s="274">
        <f t="shared" si="14"/>
        <v>101959.20000000007</v>
      </c>
      <c r="P98" s="274">
        <f t="shared" si="15"/>
        <v>62972.80000000001</v>
      </c>
      <c r="Q98" s="274">
        <f t="shared" si="16"/>
        <v>13594.560000000001</v>
      </c>
      <c r="S98" s="274">
        <f t="shared" si="17"/>
        <v>22291.765842338107</v>
      </c>
      <c r="U98" s="274">
        <f t="shared" si="28"/>
        <v>101959.20000000001</v>
      </c>
      <c r="V98" s="46">
        <f t="shared" si="25"/>
        <v>566.44000000000005</v>
      </c>
      <c r="X98" s="49"/>
    </row>
    <row r="99" spans="2:24" ht="12" hidden="1" customHeight="1">
      <c r="B99" s="65">
        <v>314</v>
      </c>
      <c r="C99" s="65" t="s">
        <v>142</v>
      </c>
      <c r="D99" s="65">
        <v>28</v>
      </c>
      <c r="E99" s="47">
        <v>71000</v>
      </c>
      <c r="F99" s="47">
        <f t="shared" si="22"/>
        <v>74550</v>
      </c>
      <c r="G99" s="47">
        <f t="shared" si="23"/>
        <v>76041</v>
      </c>
      <c r="H99" s="86">
        <f t="shared" si="24"/>
        <v>2129148</v>
      </c>
      <c r="J99" s="47">
        <v>15000</v>
      </c>
      <c r="L99" s="86">
        <f t="shared" si="12"/>
        <v>410829.60000000003</v>
      </c>
      <c r="M99" s="86">
        <f t="shared" si="26"/>
        <v>22823.866666666669</v>
      </c>
      <c r="N99" s="274">
        <f t="shared" si="13"/>
        <v>17904.24705882353</v>
      </c>
      <c r="O99" s="274">
        <f t="shared" si="14"/>
        <v>106457.40000000002</v>
      </c>
      <c r="P99" s="274">
        <f t="shared" si="15"/>
        <v>65971.600000000006</v>
      </c>
      <c r="Q99" s="274">
        <f t="shared" si="16"/>
        <v>14194.320000000002</v>
      </c>
      <c r="S99" s="274">
        <f t="shared" si="17"/>
        <v>23275.226100088315</v>
      </c>
      <c r="U99" s="274">
        <f t="shared" si="28"/>
        <v>106457.40000000001</v>
      </c>
      <c r="V99" s="46">
        <f t="shared" si="25"/>
        <v>591.43000000000006</v>
      </c>
      <c r="X99" s="49"/>
    </row>
    <row r="100" spans="2:24" ht="12" hidden="1" customHeight="1">
      <c r="B100" s="65">
        <v>315</v>
      </c>
      <c r="C100" s="65" t="s">
        <v>137</v>
      </c>
      <c r="D100" s="65">
        <v>28</v>
      </c>
      <c r="E100" s="47">
        <v>66500</v>
      </c>
      <c r="F100" s="47">
        <f t="shared" si="22"/>
        <v>69825</v>
      </c>
      <c r="G100" s="47">
        <f t="shared" si="23"/>
        <v>71221.5</v>
      </c>
      <c r="H100" s="86">
        <f t="shared" si="24"/>
        <v>1994202</v>
      </c>
      <c r="J100" s="47">
        <v>15000</v>
      </c>
      <c r="L100" s="86">
        <f t="shared" ref="L100:L101" si="29">H100*0.2-J100</f>
        <v>383840.4</v>
      </c>
      <c r="M100" s="86">
        <f t="shared" si="26"/>
        <v>21324.466666666667</v>
      </c>
      <c r="N100" s="274">
        <f t="shared" ref="N100:N101" si="30">(H100*0.15-J100)/17</f>
        <v>16713.547058823529</v>
      </c>
      <c r="O100" s="274">
        <f t="shared" ref="O100:O101" si="31">L100-(N100*17)</f>
        <v>99710.100000000035</v>
      </c>
      <c r="P100" s="274">
        <f t="shared" ref="P100:P101" si="32">(H100*0.1-J100)/3</f>
        <v>61473.4</v>
      </c>
      <c r="Q100" s="274">
        <f t="shared" ref="Q100:Q101" si="33">H100*0.1/15</f>
        <v>13294.68</v>
      </c>
      <c r="S100" s="274">
        <f t="shared" ref="S100:S101" si="34">PMT(14%/12,180,-H100*0.8)+U100/180</f>
        <v>21800.035713462999</v>
      </c>
      <c r="U100" s="274">
        <f t="shared" si="28"/>
        <v>99710.1</v>
      </c>
      <c r="V100" s="46">
        <f t="shared" si="25"/>
        <v>553.94500000000005</v>
      </c>
      <c r="X100" s="49"/>
    </row>
    <row r="101" spans="2:24" ht="12" hidden="1" customHeight="1">
      <c r="B101" s="65">
        <v>316</v>
      </c>
      <c r="C101" s="65" t="s">
        <v>137</v>
      </c>
      <c r="D101" s="65">
        <v>28</v>
      </c>
      <c r="E101" s="47">
        <v>66500</v>
      </c>
      <c r="F101" s="47">
        <f t="shared" si="22"/>
        <v>69825</v>
      </c>
      <c r="G101" s="47">
        <f t="shared" si="23"/>
        <v>71221.5</v>
      </c>
      <c r="H101" s="86">
        <f t="shared" si="24"/>
        <v>1994202</v>
      </c>
      <c r="J101" s="47">
        <v>15000</v>
      </c>
      <c r="L101" s="86">
        <f t="shared" si="29"/>
        <v>383840.4</v>
      </c>
      <c r="M101" s="86">
        <f t="shared" si="26"/>
        <v>21324.466666666667</v>
      </c>
      <c r="N101" s="274">
        <f t="shared" si="30"/>
        <v>16713.547058823529</v>
      </c>
      <c r="O101" s="274">
        <f t="shared" si="31"/>
        <v>99710.100000000035</v>
      </c>
      <c r="P101" s="274">
        <f t="shared" si="32"/>
        <v>61473.4</v>
      </c>
      <c r="Q101" s="274">
        <f t="shared" si="33"/>
        <v>13294.68</v>
      </c>
      <c r="S101" s="274">
        <f t="shared" si="34"/>
        <v>21800.035713462999</v>
      </c>
      <c r="U101" s="274">
        <f t="shared" si="28"/>
        <v>99710.1</v>
      </c>
      <c r="V101" s="46">
        <f t="shared" si="25"/>
        <v>553.94500000000005</v>
      </c>
      <c r="X101" s="49"/>
    </row>
    <row r="102" spans="2:24">
      <c r="X102" s="49"/>
    </row>
    <row r="103" spans="2:24">
      <c r="X103" s="49"/>
    </row>
    <row r="104" spans="2:24" s="77" customFormat="1">
      <c r="C104" s="74"/>
      <c r="D104" s="75"/>
      <c r="E104" s="76"/>
      <c r="F104" s="76"/>
      <c r="G104" s="76"/>
      <c r="H104" s="76"/>
      <c r="I104" s="76"/>
      <c r="J104" s="95"/>
      <c r="K104" s="75"/>
      <c r="L104" s="75"/>
      <c r="M104" s="76"/>
      <c r="N104" s="76"/>
      <c r="O104" s="76"/>
      <c r="P104" s="76"/>
      <c r="Q104" s="76"/>
      <c r="R104" s="76"/>
      <c r="S104" s="76"/>
      <c r="T104" s="76"/>
      <c r="U104" s="76"/>
      <c r="V104" s="79"/>
      <c r="W104" s="79"/>
      <c r="X104" s="49"/>
    </row>
    <row r="105" spans="2:24" s="77" customFormat="1">
      <c r="B105" s="16"/>
      <c r="C105" s="74"/>
      <c r="D105" s="75"/>
      <c r="E105" s="76"/>
      <c r="F105" s="76"/>
      <c r="G105" s="76"/>
      <c r="H105" s="76"/>
      <c r="I105" s="76"/>
      <c r="J105" s="95"/>
      <c r="K105" s="75"/>
      <c r="L105" s="75"/>
      <c r="M105" s="76"/>
      <c r="N105" s="76"/>
      <c r="O105" s="76"/>
      <c r="P105" s="76"/>
      <c r="Q105" s="76"/>
      <c r="R105" s="76"/>
      <c r="S105" s="76"/>
      <c r="T105" s="76"/>
      <c r="U105" s="76"/>
      <c r="V105" s="79"/>
      <c r="W105" s="79"/>
      <c r="X105" s="49"/>
    </row>
    <row r="106" spans="2:24" s="77" customFormat="1">
      <c r="C106" s="17"/>
      <c r="D106" s="78"/>
      <c r="E106" s="76"/>
      <c r="F106" s="76"/>
      <c r="G106" s="76"/>
      <c r="H106" s="76"/>
      <c r="I106" s="76"/>
      <c r="J106" s="95"/>
      <c r="K106" s="75"/>
      <c r="L106" s="75"/>
      <c r="M106" s="76"/>
      <c r="N106" s="76"/>
      <c r="O106" s="76"/>
      <c r="P106" s="76"/>
      <c r="Q106" s="76"/>
      <c r="R106" s="76"/>
      <c r="S106" s="76"/>
      <c r="T106" s="76"/>
      <c r="U106" s="76"/>
      <c r="V106" s="79"/>
      <c r="W106" s="79"/>
      <c r="X106" s="49"/>
    </row>
    <row r="107" spans="2:24" s="77" customFormat="1">
      <c r="C107" s="17"/>
      <c r="D107" s="78"/>
      <c r="E107" s="76"/>
      <c r="F107" s="76"/>
      <c r="G107" s="76"/>
      <c r="H107" s="76"/>
      <c r="I107" s="76"/>
      <c r="J107" s="95"/>
      <c r="K107" s="75"/>
      <c r="L107" s="75"/>
      <c r="M107" s="76"/>
      <c r="N107" s="76"/>
      <c r="O107" s="76"/>
      <c r="P107" s="76"/>
      <c r="Q107" s="76"/>
      <c r="R107" s="76"/>
      <c r="S107" s="76"/>
      <c r="T107" s="76"/>
      <c r="U107" s="76"/>
      <c r="V107" s="79"/>
      <c r="W107" s="79"/>
      <c r="X107" s="49"/>
    </row>
    <row r="108" spans="2:24" s="77" customFormat="1">
      <c r="C108" s="17"/>
      <c r="D108" s="78"/>
      <c r="E108" s="76"/>
      <c r="F108" s="76"/>
      <c r="G108" s="76"/>
      <c r="H108" s="76"/>
      <c r="I108" s="76"/>
      <c r="J108" s="95"/>
      <c r="K108" s="75"/>
      <c r="L108" s="75"/>
      <c r="M108" s="76"/>
      <c r="N108" s="76"/>
      <c r="O108" s="76"/>
      <c r="P108" s="76"/>
      <c r="Q108" s="76"/>
      <c r="R108" s="76"/>
      <c r="S108" s="76"/>
      <c r="T108" s="76"/>
      <c r="U108" s="76"/>
      <c r="V108" s="79"/>
      <c r="W108" s="79"/>
      <c r="X108" s="49"/>
    </row>
    <row r="109" spans="2:24" s="77" customFormat="1">
      <c r="C109" s="17"/>
      <c r="D109" s="78"/>
      <c r="E109" s="76"/>
      <c r="F109" s="76"/>
      <c r="G109" s="76"/>
      <c r="H109" s="76"/>
      <c r="I109" s="76"/>
      <c r="J109" s="95"/>
      <c r="K109" s="75"/>
      <c r="L109" s="75"/>
      <c r="M109" s="76"/>
      <c r="N109" s="76"/>
      <c r="O109" s="76"/>
      <c r="P109" s="76"/>
      <c r="Q109" s="76"/>
      <c r="R109" s="76"/>
      <c r="S109" s="76"/>
      <c r="T109" s="76"/>
      <c r="U109" s="76"/>
      <c r="V109" s="79"/>
      <c r="W109" s="79"/>
    </row>
    <row r="110" spans="2:24" s="77" customFormat="1">
      <c r="C110" s="74"/>
      <c r="D110" s="75"/>
      <c r="E110" s="76"/>
      <c r="F110" s="76"/>
      <c r="G110" s="76"/>
      <c r="H110" s="76"/>
      <c r="I110" s="76"/>
      <c r="J110" s="95"/>
      <c r="K110" s="75"/>
      <c r="L110" s="75"/>
      <c r="M110" s="76"/>
      <c r="N110" s="76"/>
      <c r="O110" s="76"/>
      <c r="P110" s="76"/>
      <c r="Q110" s="76"/>
      <c r="R110" s="76"/>
      <c r="S110" s="76"/>
      <c r="T110" s="76"/>
      <c r="U110" s="76"/>
      <c r="V110" s="79"/>
      <c r="W110" s="79"/>
    </row>
    <row r="111" spans="2:24" s="77" customFormat="1">
      <c r="C111" s="74"/>
      <c r="D111" s="75"/>
      <c r="E111" s="76"/>
      <c r="F111" s="76"/>
      <c r="G111" s="76"/>
      <c r="H111" s="76"/>
      <c r="I111" s="76"/>
      <c r="J111" s="95"/>
      <c r="K111" s="75"/>
      <c r="L111" s="75"/>
      <c r="M111" s="76"/>
      <c r="N111" s="76"/>
      <c r="O111" s="76"/>
      <c r="P111" s="76"/>
      <c r="Q111" s="76"/>
      <c r="R111" s="76"/>
      <c r="S111" s="76"/>
      <c r="T111" s="76"/>
      <c r="U111" s="76"/>
      <c r="V111" s="79"/>
      <c r="W111" s="79"/>
    </row>
    <row r="112" spans="2:24" s="77" customFormat="1">
      <c r="C112" s="74"/>
      <c r="D112" s="75"/>
      <c r="E112" s="76"/>
      <c r="F112" s="76"/>
      <c r="G112" s="76"/>
      <c r="H112" s="75"/>
      <c r="I112" s="75"/>
      <c r="J112" s="95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9"/>
      <c r="W112" s="79"/>
    </row>
    <row r="113" spans="2:23" s="77" customFormat="1">
      <c r="C113" s="74"/>
      <c r="D113" s="75"/>
      <c r="E113" s="76"/>
      <c r="F113" s="76"/>
      <c r="G113" s="76"/>
      <c r="H113" s="75"/>
      <c r="I113" s="75"/>
      <c r="J113" s="95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9"/>
      <c r="W113" s="79"/>
    </row>
    <row r="114" spans="2:23">
      <c r="B114" s="106"/>
      <c r="C114" s="31"/>
      <c r="D114" s="87"/>
      <c r="E114" s="78"/>
      <c r="F114" s="78"/>
      <c r="G114" s="78"/>
      <c r="H114" s="87"/>
      <c r="I114" s="87"/>
      <c r="J114" s="95"/>
      <c r="K114" s="93"/>
      <c r="N114" s="93"/>
      <c r="V114" s="28"/>
      <c r="W114" s="28"/>
    </row>
  </sheetData>
  <mergeCells count="25">
    <mergeCell ref="B3:L3"/>
    <mergeCell ref="B4:L4"/>
    <mergeCell ref="B8:B11"/>
    <mergeCell ref="C8:C11"/>
    <mergeCell ref="D8:D11"/>
    <mergeCell ref="E8:E11"/>
    <mergeCell ref="F8:F11"/>
    <mergeCell ref="B5:M5"/>
    <mergeCell ref="B6:M6"/>
    <mergeCell ref="X27:Y27"/>
    <mergeCell ref="N10:N11"/>
    <mergeCell ref="G8:G11"/>
    <mergeCell ref="H8:H11"/>
    <mergeCell ref="J8:J11"/>
    <mergeCell ref="L8:O8"/>
    <mergeCell ref="U8:U11"/>
    <mergeCell ref="L9:L11"/>
    <mergeCell ref="N9:O9"/>
    <mergeCell ref="P9:Q9"/>
    <mergeCell ref="M10:M11"/>
    <mergeCell ref="O10:O11"/>
    <mergeCell ref="P10:P11"/>
    <mergeCell ref="Q10:Q11"/>
    <mergeCell ref="S10:S11"/>
    <mergeCell ref="S8:S9"/>
  </mergeCells>
  <pageMargins left="0.25" right="0.25" top="0.75" bottom="0.75" header="0.3" footer="0.3"/>
  <pageSetup orientation="landscape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2" tint="-0.89999084444715716"/>
  </sheetPr>
  <dimension ref="B2:J31"/>
  <sheetViews>
    <sheetView topLeftCell="A2" zoomScale="90" zoomScaleNormal="90" workbookViewId="0">
      <selection activeCell="N24" sqref="N24"/>
    </sheetView>
  </sheetViews>
  <sheetFormatPr defaultRowHeight="15"/>
  <cols>
    <col min="1" max="2" width="9.140625" style="374"/>
    <col min="3" max="3" width="12.5703125" style="374" customWidth="1"/>
    <col min="4" max="4" width="2.28515625" style="374" customWidth="1"/>
    <col min="5" max="5" width="9.140625" style="374"/>
    <col min="6" max="6" width="3.140625" style="374" customWidth="1"/>
    <col min="7" max="7" width="10.5703125" style="374" customWidth="1"/>
    <col min="8" max="8" width="9.28515625" style="374" customWidth="1"/>
    <col min="9" max="9" width="14.7109375" style="374" bestFit="1" customWidth="1"/>
    <col min="10" max="10" width="15.140625" style="374" customWidth="1"/>
    <col min="11" max="16384" width="9.140625" style="374"/>
  </cols>
  <sheetData>
    <row r="2" spans="2:10">
      <c r="B2" s="437" t="s">
        <v>379</v>
      </c>
      <c r="C2" s="437"/>
      <c r="D2" s="437"/>
      <c r="E2" s="437"/>
      <c r="F2" s="437"/>
      <c r="G2" s="437"/>
      <c r="H2" s="437"/>
      <c r="I2" s="437"/>
      <c r="J2" s="437"/>
    </row>
    <row r="3" spans="2:10">
      <c r="B3" s="437" t="s">
        <v>380</v>
      </c>
      <c r="C3" s="437"/>
      <c r="D3" s="437"/>
      <c r="E3" s="437"/>
      <c r="F3" s="437"/>
      <c r="G3" s="437"/>
      <c r="H3" s="437"/>
      <c r="I3" s="437"/>
      <c r="J3" s="437"/>
    </row>
    <row r="4" spans="2:10">
      <c r="B4" s="437" t="s">
        <v>381</v>
      </c>
      <c r="C4" s="437"/>
      <c r="D4" s="437"/>
      <c r="E4" s="437"/>
      <c r="F4" s="437"/>
      <c r="G4" s="437"/>
      <c r="H4" s="437"/>
      <c r="I4" s="437"/>
      <c r="J4" s="437"/>
    </row>
    <row r="5" spans="2:10">
      <c r="B5" s="437" t="s">
        <v>364</v>
      </c>
      <c r="C5" s="437"/>
      <c r="D5" s="437"/>
      <c r="E5" s="437"/>
      <c r="F5" s="437"/>
      <c r="G5" s="437"/>
      <c r="H5" s="437"/>
      <c r="I5" s="437"/>
      <c r="J5" s="437"/>
    </row>
    <row r="6" spans="2:10" s="377" customFormat="1">
      <c r="B6" s="32"/>
      <c r="C6" s="33"/>
      <c r="D6" s="33"/>
      <c r="E6" s="33"/>
      <c r="F6" s="33"/>
      <c r="G6" s="46" t="s">
        <v>404</v>
      </c>
      <c r="H6" s="46" t="s">
        <v>405</v>
      </c>
      <c r="I6" s="466" t="s">
        <v>408</v>
      </c>
      <c r="J6" s="467"/>
    </row>
    <row r="7" spans="2:10">
      <c r="B7" s="438" t="s">
        <v>402</v>
      </c>
      <c r="C7" s="439" t="s">
        <v>403</v>
      </c>
      <c r="D7" s="62"/>
      <c r="E7" s="425" t="s">
        <v>52</v>
      </c>
      <c r="F7" s="63"/>
      <c r="G7" s="379" t="s">
        <v>409</v>
      </c>
      <c r="H7" s="379" t="s">
        <v>401</v>
      </c>
      <c r="I7" s="428" t="s">
        <v>406</v>
      </c>
      <c r="J7" s="428" t="s">
        <v>407</v>
      </c>
    </row>
    <row r="8" spans="2:10">
      <c r="B8" s="438"/>
      <c r="C8" s="439"/>
      <c r="D8" s="62"/>
      <c r="E8" s="425"/>
      <c r="F8" s="63"/>
      <c r="G8" s="380"/>
      <c r="H8" s="380"/>
      <c r="I8" s="429"/>
      <c r="J8" s="429"/>
    </row>
    <row r="9" spans="2:10">
      <c r="B9" s="431"/>
      <c r="C9" s="440"/>
      <c r="D9" s="62"/>
      <c r="E9" s="426"/>
      <c r="F9" s="63"/>
      <c r="G9" s="380"/>
      <c r="H9" s="380"/>
      <c r="I9" s="429"/>
      <c r="J9" s="429"/>
    </row>
    <row r="10" spans="2:10">
      <c r="B10" s="151"/>
      <c r="C10" s="158"/>
      <c r="D10" s="62"/>
      <c r="E10" s="348"/>
      <c r="F10" s="63"/>
      <c r="G10" s="273"/>
      <c r="H10" s="273"/>
      <c r="I10" s="335"/>
      <c r="J10" s="335"/>
    </row>
    <row r="11" spans="2:10">
      <c r="B11" s="357" t="s">
        <v>382</v>
      </c>
      <c r="C11" s="205">
        <f>13.5*30000</f>
        <v>405000</v>
      </c>
      <c r="D11" s="62"/>
      <c r="E11" s="153">
        <v>5000</v>
      </c>
      <c r="F11" s="63"/>
      <c r="G11" s="358">
        <f>C11*0.88-E11</f>
        <v>351400</v>
      </c>
      <c r="H11" s="358">
        <f>(C11-E11)/60</f>
        <v>6666.666666666667</v>
      </c>
      <c r="I11" s="358">
        <f>C11*0.3*0.9-E11</f>
        <v>104350</v>
      </c>
      <c r="J11" s="358">
        <f>C11*0.7/59</f>
        <v>4805.0847457627115</v>
      </c>
    </row>
    <row r="12" spans="2:10">
      <c r="B12" s="357" t="s">
        <v>383</v>
      </c>
      <c r="C12" s="205">
        <f t="shared" ref="C12:C29" si="0">13.5*30000</f>
        <v>405000</v>
      </c>
      <c r="D12" s="62"/>
      <c r="E12" s="153">
        <v>5000</v>
      </c>
      <c r="F12" s="63"/>
      <c r="G12" s="358">
        <f t="shared" ref="G12:G29" si="1">C12*0.88-E12</f>
        <v>351400</v>
      </c>
      <c r="H12" s="358">
        <f t="shared" ref="H12:H29" si="2">(C12-E12)/60</f>
        <v>6666.666666666667</v>
      </c>
      <c r="I12" s="358">
        <f t="shared" ref="I12:I29" si="3">C12*0.3*0.9-E12</f>
        <v>104350</v>
      </c>
      <c r="J12" s="358">
        <f t="shared" ref="J12:J29" si="4">C12*0.7/59</f>
        <v>4805.0847457627115</v>
      </c>
    </row>
    <row r="13" spans="2:10">
      <c r="B13" s="357" t="s">
        <v>384</v>
      </c>
      <c r="C13" s="205">
        <f t="shared" si="0"/>
        <v>405000</v>
      </c>
      <c r="D13" s="62"/>
      <c r="E13" s="153">
        <v>5000</v>
      </c>
      <c r="F13" s="63"/>
      <c r="G13" s="358">
        <f t="shared" si="1"/>
        <v>351400</v>
      </c>
      <c r="H13" s="358">
        <f t="shared" si="2"/>
        <v>6666.666666666667</v>
      </c>
      <c r="I13" s="358">
        <f t="shared" si="3"/>
        <v>104350</v>
      </c>
      <c r="J13" s="358">
        <f t="shared" si="4"/>
        <v>4805.0847457627115</v>
      </c>
    </row>
    <row r="14" spans="2:10">
      <c r="B14" s="357" t="s">
        <v>385</v>
      </c>
      <c r="C14" s="205">
        <f t="shared" si="0"/>
        <v>405000</v>
      </c>
      <c r="D14" s="62"/>
      <c r="E14" s="153">
        <v>5000</v>
      </c>
      <c r="F14" s="63"/>
      <c r="G14" s="358">
        <f t="shared" si="1"/>
        <v>351400</v>
      </c>
      <c r="H14" s="358">
        <f t="shared" si="2"/>
        <v>6666.666666666667</v>
      </c>
      <c r="I14" s="358">
        <f t="shared" si="3"/>
        <v>104350</v>
      </c>
      <c r="J14" s="358">
        <f t="shared" si="4"/>
        <v>4805.0847457627115</v>
      </c>
    </row>
    <row r="15" spans="2:10">
      <c r="B15" s="357" t="s">
        <v>386</v>
      </c>
      <c r="C15" s="205">
        <f t="shared" si="0"/>
        <v>405000</v>
      </c>
      <c r="D15" s="62"/>
      <c r="E15" s="153">
        <v>5000</v>
      </c>
      <c r="F15" s="63"/>
      <c r="G15" s="358">
        <f t="shared" si="1"/>
        <v>351400</v>
      </c>
      <c r="H15" s="358">
        <f t="shared" si="2"/>
        <v>6666.666666666667</v>
      </c>
      <c r="I15" s="358">
        <f t="shared" si="3"/>
        <v>104350</v>
      </c>
      <c r="J15" s="358">
        <f t="shared" si="4"/>
        <v>4805.0847457627115</v>
      </c>
    </row>
    <row r="16" spans="2:10">
      <c r="B16" s="357" t="s">
        <v>387</v>
      </c>
      <c r="C16" s="205">
        <f t="shared" si="0"/>
        <v>405000</v>
      </c>
      <c r="D16" s="62"/>
      <c r="E16" s="153">
        <v>5000</v>
      </c>
      <c r="F16" s="63"/>
      <c r="G16" s="358">
        <f t="shared" si="1"/>
        <v>351400</v>
      </c>
      <c r="H16" s="358">
        <f t="shared" si="2"/>
        <v>6666.666666666667</v>
      </c>
      <c r="I16" s="358">
        <f t="shared" si="3"/>
        <v>104350</v>
      </c>
      <c r="J16" s="358">
        <f t="shared" si="4"/>
        <v>4805.0847457627115</v>
      </c>
    </row>
    <row r="17" spans="2:10">
      <c r="B17" s="357" t="s">
        <v>388</v>
      </c>
      <c r="C17" s="205">
        <f t="shared" si="0"/>
        <v>405000</v>
      </c>
      <c r="D17" s="62"/>
      <c r="E17" s="153">
        <v>5000</v>
      </c>
      <c r="F17" s="63"/>
      <c r="G17" s="358">
        <f t="shared" si="1"/>
        <v>351400</v>
      </c>
      <c r="H17" s="358">
        <f t="shared" si="2"/>
        <v>6666.666666666667</v>
      </c>
      <c r="I17" s="358">
        <f t="shared" si="3"/>
        <v>104350</v>
      </c>
      <c r="J17" s="358">
        <f t="shared" si="4"/>
        <v>4805.0847457627115</v>
      </c>
    </row>
    <row r="18" spans="2:10">
      <c r="B18" s="357" t="s">
        <v>389</v>
      </c>
      <c r="C18" s="205">
        <f t="shared" si="0"/>
        <v>405000</v>
      </c>
      <c r="D18" s="62"/>
      <c r="E18" s="153">
        <v>5000</v>
      </c>
      <c r="F18" s="63"/>
      <c r="G18" s="358">
        <f t="shared" si="1"/>
        <v>351400</v>
      </c>
      <c r="H18" s="358">
        <f t="shared" si="2"/>
        <v>6666.666666666667</v>
      </c>
      <c r="I18" s="358">
        <f t="shared" si="3"/>
        <v>104350</v>
      </c>
      <c r="J18" s="358">
        <f t="shared" si="4"/>
        <v>4805.0847457627115</v>
      </c>
    </row>
    <row r="19" spans="2:10">
      <c r="B19" s="357" t="s">
        <v>390</v>
      </c>
      <c r="C19" s="205">
        <f t="shared" si="0"/>
        <v>405000</v>
      </c>
      <c r="D19" s="62"/>
      <c r="E19" s="153">
        <v>5000</v>
      </c>
      <c r="F19" s="63"/>
      <c r="G19" s="358">
        <f t="shared" si="1"/>
        <v>351400</v>
      </c>
      <c r="H19" s="358">
        <f t="shared" si="2"/>
        <v>6666.666666666667</v>
      </c>
      <c r="I19" s="358">
        <f t="shared" si="3"/>
        <v>104350</v>
      </c>
      <c r="J19" s="358">
        <f t="shared" si="4"/>
        <v>4805.0847457627115</v>
      </c>
    </row>
    <row r="20" spans="2:10">
      <c r="B20" s="357" t="s">
        <v>391</v>
      </c>
      <c r="C20" s="205">
        <f t="shared" si="0"/>
        <v>405000</v>
      </c>
      <c r="D20" s="62"/>
      <c r="E20" s="153">
        <v>5000</v>
      </c>
      <c r="F20" s="63"/>
      <c r="G20" s="358">
        <f t="shared" si="1"/>
        <v>351400</v>
      </c>
      <c r="H20" s="358">
        <f t="shared" si="2"/>
        <v>6666.666666666667</v>
      </c>
      <c r="I20" s="358">
        <f t="shared" si="3"/>
        <v>104350</v>
      </c>
      <c r="J20" s="358">
        <f t="shared" si="4"/>
        <v>4805.0847457627115</v>
      </c>
    </row>
    <row r="21" spans="2:10">
      <c r="B21" s="357" t="s">
        <v>392</v>
      </c>
      <c r="C21" s="205">
        <f t="shared" si="0"/>
        <v>405000</v>
      </c>
      <c r="D21" s="62"/>
      <c r="E21" s="153">
        <v>5000</v>
      </c>
      <c r="F21" s="63"/>
      <c r="G21" s="358">
        <f t="shared" si="1"/>
        <v>351400</v>
      </c>
      <c r="H21" s="358">
        <f t="shared" si="2"/>
        <v>6666.666666666667</v>
      </c>
      <c r="I21" s="358">
        <f t="shared" si="3"/>
        <v>104350</v>
      </c>
      <c r="J21" s="358">
        <f t="shared" si="4"/>
        <v>4805.0847457627115</v>
      </c>
    </row>
    <row r="22" spans="2:10">
      <c r="B22" s="357" t="s">
        <v>393</v>
      </c>
      <c r="C22" s="205">
        <f t="shared" si="0"/>
        <v>405000</v>
      </c>
      <c r="D22" s="62"/>
      <c r="E22" s="153">
        <v>5000</v>
      </c>
      <c r="F22" s="63"/>
      <c r="G22" s="358">
        <f t="shared" si="1"/>
        <v>351400</v>
      </c>
      <c r="H22" s="358">
        <f>(C22-E22)/60</f>
        <v>6666.666666666667</v>
      </c>
      <c r="I22" s="358">
        <f t="shared" si="3"/>
        <v>104350</v>
      </c>
      <c r="J22" s="358">
        <f t="shared" si="4"/>
        <v>4805.0847457627115</v>
      </c>
    </row>
    <row r="23" spans="2:10">
      <c r="B23" s="357" t="s">
        <v>394</v>
      </c>
      <c r="C23" s="205">
        <f t="shared" si="0"/>
        <v>405000</v>
      </c>
      <c r="D23" s="62"/>
      <c r="E23" s="153">
        <v>5000</v>
      </c>
      <c r="F23" s="63"/>
      <c r="G23" s="358">
        <f t="shared" si="1"/>
        <v>351400</v>
      </c>
      <c r="H23" s="358">
        <f t="shared" si="2"/>
        <v>6666.666666666667</v>
      </c>
      <c r="I23" s="358">
        <f t="shared" si="3"/>
        <v>104350</v>
      </c>
      <c r="J23" s="358">
        <f t="shared" si="4"/>
        <v>4805.0847457627115</v>
      </c>
    </row>
    <row r="24" spans="2:10">
      <c r="B24" s="357" t="s">
        <v>395</v>
      </c>
      <c r="C24" s="205">
        <f t="shared" si="0"/>
        <v>405000</v>
      </c>
      <c r="D24" s="62"/>
      <c r="E24" s="153">
        <v>5000</v>
      </c>
      <c r="F24" s="63"/>
      <c r="G24" s="358">
        <f t="shared" si="1"/>
        <v>351400</v>
      </c>
      <c r="H24" s="358">
        <f t="shared" si="2"/>
        <v>6666.666666666667</v>
      </c>
      <c r="I24" s="358">
        <f t="shared" si="3"/>
        <v>104350</v>
      </c>
      <c r="J24" s="358">
        <f t="shared" si="4"/>
        <v>4805.0847457627115</v>
      </c>
    </row>
    <row r="25" spans="2:10">
      <c r="B25" s="357" t="s">
        <v>396</v>
      </c>
      <c r="C25" s="205">
        <f t="shared" si="0"/>
        <v>405000</v>
      </c>
      <c r="D25" s="62"/>
      <c r="E25" s="153">
        <v>5000</v>
      </c>
      <c r="F25" s="63"/>
      <c r="G25" s="358">
        <f t="shared" si="1"/>
        <v>351400</v>
      </c>
      <c r="H25" s="358">
        <f t="shared" si="2"/>
        <v>6666.666666666667</v>
      </c>
      <c r="I25" s="358">
        <f t="shared" si="3"/>
        <v>104350</v>
      </c>
      <c r="J25" s="358">
        <f t="shared" si="4"/>
        <v>4805.0847457627115</v>
      </c>
    </row>
    <row r="26" spans="2:10">
      <c r="B26" s="357" t="s">
        <v>397</v>
      </c>
      <c r="C26" s="205">
        <f t="shared" si="0"/>
        <v>405000</v>
      </c>
      <c r="D26" s="62"/>
      <c r="E26" s="153">
        <v>5000</v>
      </c>
      <c r="F26" s="63"/>
      <c r="G26" s="358">
        <f t="shared" si="1"/>
        <v>351400</v>
      </c>
      <c r="H26" s="358">
        <f t="shared" si="2"/>
        <v>6666.666666666667</v>
      </c>
      <c r="I26" s="358">
        <f t="shared" si="3"/>
        <v>104350</v>
      </c>
      <c r="J26" s="358">
        <f t="shared" si="4"/>
        <v>4805.0847457627115</v>
      </c>
    </row>
    <row r="27" spans="2:10">
      <c r="B27" s="357" t="s">
        <v>398</v>
      </c>
      <c r="C27" s="205">
        <f t="shared" si="0"/>
        <v>405000</v>
      </c>
      <c r="D27" s="62"/>
      <c r="E27" s="153">
        <v>5000</v>
      </c>
      <c r="F27" s="63"/>
      <c r="G27" s="358">
        <f t="shared" si="1"/>
        <v>351400</v>
      </c>
      <c r="H27" s="358">
        <f t="shared" si="2"/>
        <v>6666.666666666667</v>
      </c>
      <c r="I27" s="358">
        <f t="shared" si="3"/>
        <v>104350</v>
      </c>
      <c r="J27" s="358">
        <f t="shared" si="4"/>
        <v>4805.0847457627115</v>
      </c>
    </row>
    <row r="28" spans="2:10">
      <c r="B28" s="357" t="s">
        <v>399</v>
      </c>
      <c r="C28" s="205">
        <f t="shared" si="0"/>
        <v>405000</v>
      </c>
      <c r="D28" s="62"/>
      <c r="E28" s="153">
        <v>5000</v>
      </c>
      <c r="F28" s="63"/>
      <c r="G28" s="358">
        <f t="shared" si="1"/>
        <v>351400</v>
      </c>
      <c r="H28" s="358">
        <f t="shared" si="2"/>
        <v>6666.666666666667</v>
      </c>
      <c r="I28" s="358">
        <f t="shared" si="3"/>
        <v>104350</v>
      </c>
      <c r="J28" s="358">
        <f t="shared" si="4"/>
        <v>4805.0847457627115</v>
      </c>
    </row>
    <row r="29" spans="2:10">
      <c r="B29" s="357" t="s">
        <v>400</v>
      </c>
      <c r="C29" s="205">
        <f t="shared" si="0"/>
        <v>405000</v>
      </c>
      <c r="D29" s="62"/>
      <c r="E29" s="153">
        <v>5000</v>
      </c>
      <c r="F29" s="63"/>
      <c r="G29" s="358">
        <f t="shared" si="1"/>
        <v>351400</v>
      </c>
      <c r="H29" s="358">
        <f t="shared" si="2"/>
        <v>6666.666666666667</v>
      </c>
      <c r="I29" s="358">
        <f t="shared" si="3"/>
        <v>104350</v>
      </c>
      <c r="J29" s="358">
        <f t="shared" si="4"/>
        <v>4805.0847457627115</v>
      </c>
    </row>
    <row r="30" spans="2:10">
      <c r="B30" s="354"/>
      <c r="C30" s="148"/>
      <c r="D30" s="62"/>
      <c r="E30" s="154"/>
      <c r="F30" s="63"/>
      <c r="G30" s="304"/>
      <c r="H30" s="304"/>
      <c r="I30" s="304"/>
      <c r="J30" s="304">
        <f>C30*0.8/59</f>
        <v>0</v>
      </c>
    </row>
    <row r="31" spans="2:10">
      <c r="D31" s="376"/>
    </row>
  </sheetData>
  <mergeCells count="12">
    <mergeCell ref="B2:J2"/>
    <mergeCell ref="B3:J3"/>
    <mergeCell ref="B4:J4"/>
    <mergeCell ref="B5:J5"/>
    <mergeCell ref="B7:B9"/>
    <mergeCell ref="C7:C9"/>
    <mergeCell ref="E7:E9"/>
    <mergeCell ref="H7:H9"/>
    <mergeCell ref="I7:I9"/>
    <mergeCell ref="J7:J9"/>
    <mergeCell ref="I6:J6"/>
    <mergeCell ref="G7:G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-0.499984740745262"/>
  </sheetPr>
  <dimension ref="B1:AA168"/>
  <sheetViews>
    <sheetView zoomScale="90" zoomScaleNormal="90" workbookViewId="0">
      <selection activeCell="AD157" sqref="AD157"/>
    </sheetView>
  </sheetViews>
  <sheetFormatPr defaultRowHeight="12"/>
  <cols>
    <col min="1" max="1" width="9.140625" style="28"/>
    <col min="2" max="2" width="4.7109375" style="362" customWidth="1"/>
    <col min="3" max="3" width="9.85546875" style="362" customWidth="1"/>
    <col min="4" max="4" width="14.28515625" style="30" hidden="1" customWidth="1"/>
    <col min="5" max="5" width="11.85546875" style="33" hidden="1" customWidth="1"/>
    <col min="6" max="6" width="16" style="82" customWidth="1"/>
    <col min="7" max="7" width="1.5703125" style="282" customWidth="1"/>
    <col min="8" max="8" width="11.5703125" style="82" customWidth="1"/>
    <col min="9" max="9" width="1" style="82" customWidth="1"/>
    <col min="10" max="10" width="12.85546875" style="82" customWidth="1"/>
    <col min="11" max="11" width="13" style="82" customWidth="1"/>
    <col min="12" max="12" width="11.7109375" style="82" customWidth="1"/>
    <col min="13" max="13" width="11" style="93" customWidth="1"/>
    <col min="14" max="14" width="0.85546875" style="82" customWidth="1"/>
    <col min="15" max="15" width="13.28515625" style="82" bestFit="1" customWidth="1"/>
    <col min="16" max="16" width="12.7109375" style="82" customWidth="1"/>
    <col min="17" max="17" width="0.85546875" style="82" customWidth="1"/>
    <col min="18" max="18" width="12.140625" style="82" customWidth="1"/>
    <col min="19" max="19" width="5.7109375" style="28" customWidth="1"/>
    <col min="20" max="20" width="9.140625" style="28" hidden="1" customWidth="1"/>
    <col min="21" max="26" width="0" style="28" hidden="1" customWidth="1"/>
    <col min="27" max="27" width="11.140625" style="28" hidden="1" customWidth="1"/>
    <col min="28" max="29" width="0" style="28" hidden="1" customWidth="1"/>
    <col min="30" max="16384" width="9.140625" style="28"/>
  </cols>
  <sheetData>
    <row r="1" spans="2:19" s="40" customFormat="1">
      <c r="B1" s="437" t="s">
        <v>220</v>
      </c>
      <c r="C1" s="437"/>
      <c r="D1" s="437"/>
      <c r="E1" s="437"/>
      <c r="F1" s="437"/>
      <c r="G1" s="437"/>
      <c r="H1" s="303"/>
      <c r="I1" s="303"/>
      <c r="J1" s="303"/>
      <c r="K1" s="321"/>
      <c r="L1" s="321"/>
      <c r="M1" s="326"/>
      <c r="N1" s="321"/>
      <c r="O1" s="321"/>
      <c r="P1" s="321"/>
      <c r="Q1" s="321"/>
      <c r="R1" s="327"/>
      <c r="S1" s="42"/>
    </row>
    <row r="2" spans="2:19" s="40" customFormat="1">
      <c r="B2" s="437" t="s">
        <v>219</v>
      </c>
      <c r="C2" s="437"/>
      <c r="D2" s="437"/>
      <c r="E2" s="437"/>
      <c r="F2" s="437"/>
      <c r="G2" s="303"/>
      <c r="H2" s="303"/>
      <c r="I2" s="303"/>
      <c r="J2" s="359"/>
      <c r="K2" s="321"/>
      <c r="L2" s="321"/>
      <c r="M2" s="326"/>
      <c r="N2" s="321"/>
      <c r="O2" s="321"/>
      <c r="P2" s="321"/>
      <c r="Q2" s="321"/>
      <c r="R2" s="327"/>
      <c r="S2" s="42"/>
    </row>
    <row r="3" spans="2:19" s="40" customFormat="1">
      <c r="B3" s="437" t="s">
        <v>218</v>
      </c>
      <c r="C3" s="437"/>
      <c r="D3" s="437"/>
      <c r="E3" s="437"/>
      <c r="F3" s="437"/>
      <c r="G3" s="303"/>
      <c r="H3" s="303"/>
      <c r="I3" s="303"/>
      <c r="J3" s="303"/>
      <c r="K3" s="321"/>
      <c r="L3" s="321"/>
      <c r="M3" s="326"/>
      <c r="N3" s="321"/>
      <c r="O3" s="321"/>
      <c r="P3" s="321"/>
      <c r="Q3" s="321"/>
      <c r="R3" s="327"/>
      <c r="S3" s="42"/>
    </row>
    <row r="4" spans="2:19" s="40" customFormat="1">
      <c r="B4" s="437" t="s">
        <v>346</v>
      </c>
      <c r="C4" s="437"/>
      <c r="D4" s="437"/>
      <c r="E4" s="437"/>
      <c r="F4" s="437"/>
      <c r="G4" s="303"/>
      <c r="H4" s="303"/>
      <c r="I4" s="303"/>
      <c r="J4" s="303"/>
      <c r="K4" s="321"/>
      <c r="L4" s="321"/>
      <c r="M4" s="326"/>
      <c r="N4" s="321"/>
      <c r="O4" s="321"/>
      <c r="P4" s="321"/>
      <c r="Q4" s="321"/>
      <c r="R4" s="327"/>
      <c r="S4" s="42"/>
    </row>
    <row r="7" spans="2:19">
      <c r="B7" s="431" t="s">
        <v>128</v>
      </c>
      <c r="C7" s="431" t="s">
        <v>129</v>
      </c>
      <c r="D7" s="431" t="s">
        <v>17</v>
      </c>
      <c r="E7" s="439" t="s">
        <v>132</v>
      </c>
      <c r="F7" s="460" t="s">
        <v>216</v>
      </c>
      <c r="H7" s="458" t="s">
        <v>5</v>
      </c>
      <c r="I7" s="83"/>
      <c r="J7" s="458" t="s">
        <v>64</v>
      </c>
      <c r="K7" s="458"/>
      <c r="L7" s="458"/>
      <c r="M7" s="458"/>
      <c r="N7" s="319"/>
      <c r="O7" s="470" t="s">
        <v>65</v>
      </c>
      <c r="P7" s="471"/>
      <c r="Q7" s="319"/>
      <c r="R7" s="428" t="s">
        <v>306</v>
      </c>
    </row>
    <row r="8" spans="2:19">
      <c r="B8" s="432"/>
      <c r="C8" s="432"/>
      <c r="D8" s="432"/>
      <c r="E8" s="439"/>
      <c r="F8" s="460"/>
      <c r="H8" s="458"/>
      <c r="I8" s="83"/>
      <c r="J8" s="458" t="s">
        <v>215</v>
      </c>
      <c r="K8" s="470" t="s">
        <v>6</v>
      </c>
      <c r="L8" s="471"/>
      <c r="M8" s="156" t="s">
        <v>26</v>
      </c>
      <c r="N8" s="319"/>
      <c r="O8" s="428" t="s">
        <v>214</v>
      </c>
      <c r="P8" s="379" t="s">
        <v>367</v>
      </c>
      <c r="Q8" s="319"/>
      <c r="R8" s="429"/>
    </row>
    <row r="9" spans="2:19">
      <c r="B9" s="432"/>
      <c r="C9" s="360" t="s">
        <v>213</v>
      </c>
      <c r="D9" s="432"/>
      <c r="E9" s="439"/>
      <c r="F9" s="460"/>
      <c r="H9" s="458"/>
      <c r="I9" s="83"/>
      <c r="J9" s="458"/>
      <c r="K9" s="379" t="s">
        <v>212</v>
      </c>
      <c r="L9" s="379" t="s">
        <v>211</v>
      </c>
      <c r="M9" s="379" t="s">
        <v>210</v>
      </c>
      <c r="N9" s="83"/>
      <c r="O9" s="429"/>
      <c r="P9" s="380"/>
      <c r="Q9" s="83"/>
      <c r="R9" s="429"/>
    </row>
    <row r="10" spans="2:19" ht="44.25" customHeight="1">
      <c r="B10" s="433"/>
      <c r="C10" s="361"/>
      <c r="D10" s="433"/>
      <c r="E10" s="439"/>
      <c r="F10" s="460"/>
      <c r="H10" s="458"/>
      <c r="I10" s="83"/>
      <c r="J10" s="458"/>
      <c r="K10" s="381"/>
      <c r="L10" s="381"/>
      <c r="M10" s="381"/>
      <c r="O10" s="469"/>
      <c r="P10" s="381"/>
      <c r="R10" s="469"/>
    </row>
    <row r="11" spans="2:19" hidden="1">
      <c r="B11" s="365" t="s">
        <v>209</v>
      </c>
      <c r="C11" s="365">
        <v>1</v>
      </c>
      <c r="D11" s="366">
        <v>20</v>
      </c>
      <c r="E11" s="367">
        <f>[3]WHARTON!L4</f>
        <v>80000</v>
      </c>
      <c r="F11" s="368">
        <f t="shared" ref="F11:F42" si="0">D11*E11</f>
        <v>1600000</v>
      </c>
      <c r="G11" s="363"/>
      <c r="H11" s="368">
        <v>15000</v>
      </c>
      <c r="I11" s="364"/>
      <c r="J11" s="368">
        <f t="shared" ref="J11:J13" si="1">F11*0.2-H11</f>
        <v>305000</v>
      </c>
      <c r="K11" s="368">
        <f t="shared" ref="K11:K13" si="2">(F11*0.1-H11)/17</f>
        <v>8529.4117647058829</v>
      </c>
      <c r="L11" s="368"/>
      <c r="M11" s="369">
        <f t="shared" ref="M11:M13" si="3">J11/18</f>
        <v>16944.444444444445</v>
      </c>
      <c r="N11" s="364"/>
      <c r="O11" s="368">
        <f t="shared" ref="O11:O13" si="4">F11*0.8</f>
        <v>1280000</v>
      </c>
      <c r="P11" s="368">
        <f t="shared" ref="P11" si="5">PMT(14%/12,120,-O11)+R11/120</f>
        <v>20540.770351903717</v>
      </c>
      <c r="Q11" s="364"/>
      <c r="R11" s="368">
        <f t="shared" ref="R11:R18" si="6">F11*0.05</f>
        <v>80000</v>
      </c>
    </row>
    <row r="12" spans="2:19">
      <c r="B12" s="356" t="s">
        <v>209</v>
      </c>
      <c r="C12" s="356">
        <v>2</v>
      </c>
      <c r="D12" s="215">
        <v>20</v>
      </c>
      <c r="E12" s="61">
        <f>[3]WHARTON!L5</f>
        <v>79000</v>
      </c>
      <c r="F12" s="276">
        <f t="shared" si="0"/>
        <v>1580000</v>
      </c>
      <c r="H12" s="276">
        <v>15000</v>
      </c>
      <c r="I12" s="282"/>
      <c r="J12" s="276">
        <f t="shared" si="1"/>
        <v>301000</v>
      </c>
      <c r="K12" s="276">
        <f t="shared" si="2"/>
        <v>8411.7647058823532</v>
      </c>
      <c r="L12" s="276">
        <f t="shared" ref="L12:L13" si="7">F12*0.1</f>
        <v>158000</v>
      </c>
      <c r="M12" s="292">
        <f t="shared" si="3"/>
        <v>16722.222222222223</v>
      </c>
      <c r="N12" s="282"/>
      <c r="O12" s="297">
        <f t="shared" si="4"/>
        <v>1264000</v>
      </c>
      <c r="P12" s="276">
        <f>PMT(13%/12,180,-O12)+R12/180</f>
        <v>16345.355438850513</v>
      </c>
      <c r="Q12" s="282"/>
      <c r="R12" s="276">
        <v>63485</v>
      </c>
    </row>
    <row r="13" spans="2:19">
      <c r="B13" s="357" t="s">
        <v>209</v>
      </c>
      <c r="C13" s="357">
        <v>3</v>
      </c>
      <c r="D13" s="215">
        <v>20</v>
      </c>
      <c r="E13" s="61">
        <f>[3]WHARTON!L6</f>
        <v>79000</v>
      </c>
      <c r="F13" s="238">
        <f t="shared" si="0"/>
        <v>1580000</v>
      </c>
      <c r="H13" s="238">
        <v>15000</v>
      </c>
      <c r="I13" s="282"/>
      <c r="J13" s="238">
        <f t="shared" si="1"/>
        <v>301000</v>
      </c>
      <c r="K13" s="238">
        <f t="shared" si="2"/>
        <v>8411.7647058823532</v>
      </c>
      <c r="L13" s="238">
        <f t="shared" si="7"/>
        <v>158000</v>
      </c>
      <c r="M13" s="293">
        <f t="shared" si="3"/>
        <v>16722.222222222223</v>
      </c>
      <c r="N13" s="282"/>
      <c r="O13" s="298">
        <f t="shared" si="4"/>
        <v>1264000</v>
      </c>
      <c r="P13" s="238">
        <f>PMT(13%/12,180,-O13)+R13/180</f>
        <v>16345.355438850513</v>
      </c>
      <c r="Q13" s="282"/>
      <c r="R13" s="238">
        <v>63485</v>
      </c>
    </row>
    <row r="14" spans="2:19">
      <c r="B14" s="357" t="s">
        <v>209</v>
      </c>
      <c r="C14" s="357">
        <v>4</v>
      </c>
      <c r="D14" s="215">
        <v>20</v>
      </c>
      <c r="E14" s="61">
        <f>[3]WHARTON!L7</f>
        <v>79000</v>
      </c>
      <c r="F14" s="238">
        <f t="shared" si="0"/>
        <v>1580000</v>
      </c>
      <c r="H14" s="238">
        <v>15000</v>
      </c>
      <c r="I14" s="282"/>
      <c r="J14" s="238">
        <f t="shared" ref="J14:J31" si="8">F14*0.2-H14</f>
        <v>301000</v>
      </c>
      <c r="K14" s="238">
        <f t="shared" ref="K14:K31" si="9">(F14*0.1-H14)/17</f>
        <v>8411.7647058823532</v>
      </c>
      <c r="L14" s="238">
        <f t="shared" ref="L14:L31" si="10">F14*0.1</f>
        <v>158000</v>
      </c>
      <c r="M14" s="293">
        <f t="shared" ref="M14:M31" si="11">J14/18</f>
        <v>16722.222222222223</v>
      </c>
      <c r="N14" s="282"/>
      <c r="O14" s="298">
        <f t="shared" ref="O14:O31" si="12">F14*0.8</f>
        <v>1264000</v>
      </c>
      <c r="P14" s="238">
        <f t="shared" ref="P14:P31" si="13">PMT(13%/12,180,-O14)+R14/180</f>
        <v>16345.355438850513</v>
      </c>
      <c r="Q14" s="282"/>
      <c r="R14" s="238">
        <v>63485</v>
      </c>
    </row>
    <row r="15" spans="2:19" hidden="1">
      <c r="B15" s="372" t="s">
        <v>209</v>
      </c>
      <c r="C15" s="372">
        <v>5</v>
      </c>
      <c r="D15" s="370">
        <v>20</v>
      </c>
      <c r="E15" s="371">
        <f>[3]WHARTON!L8</f>
        <v>80000</v>
      </c>
      <c r="F15" s="373">
        <f t="shared" si="0"/>
        <v>1600000</v>
      </c>
      <c r="G15" s="363"/>
      <c r="H15" s="373">
        <v>15000</v>
      </c>
      <c r="I15" s="363"/>
      <c r="J15" s="238">
        <f t="shared" si="8"/>
        <v>305000</v>
      </c>
      <c r="K15" s="238">
        <f t="shared" si="9"/>
        <v>8529.4117647058829</v>
      </c>
      <c r="L15" s="238">
        <f t="shared" si="10"/>
        <v>160000</v>
      </c>
      <c r="M15" s="293">
        <f t="shared" si="11"/>
        <v>16944.444444444445</v>
      </c>
      <c r="N15" s="282"/>
      <c r="O15" s="298">
        <f t="shared" si="12"/>
        <v>1280000</v>
      </c>
      <c r="P15" s="238">
        <f t="shared" si="13"/>
        <v>16639.544185615145</v>
      </c>
      <c r="Q15" s="363"/>
      <c r="R15" s="373">
        <f t="shared" si="6"/>
        <v>80000</v>
      </c>
    </row>
    <row r="16" spans="2:19">
      <c r="B16" s="357" t="s">
        <v>209</v>
      </c>
      <c r="C16" s="357">
        <v>6</v>
      </c>
      <c r="D16" s="215">
        <v>20</v>
      </c>
      <c r="E16" s="61">
        <f>[3]WHARTON!H9</f>
        <v>80000</v>
      </c>
      <c r="F16" s="238">
        <f t="shared" si="0"/>
        <v>1600000</v>
      </c>
      <c r="H16" s="238">
        <v>15000</v>
      </c>
      <c r="I16" s="282"/>
      <c r="J16" s="238">
        <f t="shared" si="8"/>
        <v>305000</v>
      </c>
      <c r="K16" s="238">
        <f t="shared" si="9"/>
        <v>8529.4117647058829</v>
      </c>
      <c r="L16" s="238">
        <f t="shared" si="10"/>
        <v>160000</v>
      </c>
      <c r="M16" s="293">
        <f t="shared" si="11"/>
        <v>16944.444444444445</v>
      </c>
      <c r="N16" s="282"/>
      <c r="O16" s="298">
        <f t="shared" si="12"/>
        <v>1280000</v>
      </c>
      <c r="P16" s="238">
        <f t="shared" si="13"/>
        <v>16551.405296726258</v>
      </c>
      <c r="Q16" s="282"/>
      <c r="R16" s="238">
        <v>64135</v>
      </c>
    </row>
    <row r="17" spans="2:18">
      <c r="B17" s="357" t="s">
        <v>209</v>
      </c>
      <c r="C17" s="357">
        <v>7</v>
      </c>
      <c r="D17" s="215">
        <v>20</v>
      </c>
      <c r="E17" s="61">
        <f>[3]WHARTON!G9</f>
        <v>79000</v>
      </c>
      <c r="F17" s="238">
        <f t="shared" si="0"/>
        <v>1580000</v>
      </c>
      <c r="H17" s="238">
        <v>15000</v>
      </c>
      <c r="I17" s="282"/>
      <c r="J17" s="238">
        <f t="shared" si="8"/>
        <v>301000</v>
      </c>
      <c r="K17" s="238">
        <f t="shared" si="9"/>
        <v>8411.7647058823532</v>
      </c>
      <c r="L17" s="238">
        <f t="shared" si="10"/>
        <v>158000</v>
      </c>
      <c r="M17" s="293">
        <f t="shared" si="11"/>
        <v>16722.222222222223</v>
      </c>
      <c r="N17" s="282"/>
      <c r="O17" s="298">
        <f t="shared" si="12"/>
        <v>1264000</v>
      </c>
      <c r="P17" s="238">
        <f t="shared" si="13"/>
        <v>16345.355438850513</v>
      </c>
      <c r="Q17" s="282"/>
      <c r="R17" s="238">
        <f>R14</f>
        <v>63485</v>
      </c>
    </row>
    <row r="18" spans="2:18" hidden="1">
      <c r="B18" s="372" t="s">
        <v>209</v>
      </c>
      <c r="C18" s="372">
        <v>8</v>
      </c>
      <c r="D18" s="370">
        <v>20</v>
      </c>
      <c r="E18" s="371">
        <f>[3]WHARTON!F9</f>
        <v>79000</v>
      </c>
      <c r="F18" s="373">
        <f t="shared" si="0"/>
        <v>1580000</v>
      </c>
      <c r="G18" s="363"/>
      <c r="H18" s="373">
        <v>15000</v>
      </c>
      <c r="I18" s="363"/>
      <c r="J18" s="238">
        <f t="shared" si="8"/>
        <v>301000</v>
      </c>
      <c r="K18" s="238">
        <f t="shared" si="9"/>
        <v>8411.7647058823532</v>
      </c>
      <c r="L18" s="238">
        <f t="shared" si="10"/>
        <v>158000</v>
      </c>
      <c r="M18" s="293">
        <f t="shared" si="11"/>
        <v>16722.222222222223</v>
      </c>
      <c r="N18" s="282"/>
      <c r="O18" s="298">
        <f t="shared" si="12"/>
        <v>1264000</v>
      </c>
      <c r="P18" s="238">
        <f t="shared" si="13"/>
        <v>16431.549883294956</v>
      </c>
      <c r="Q18" s="363"/>
      <c r="R18" s="373">
        <f t="shared" si="6"/>
        <v>79000</v>
      </c>
    </row>
    <row r="19" spans="2:18">
      <c r="B19" s="357" t="s">
        <v>209</v>
      </c>
      <c r="C19" s="357">
        <v>9</v>
      </c>
      <c r="D19" s="215">
        <v>20</v>
      </c>
      <c r="E19" s="61">
        <f>[3]WHARTON!E9</f>
        <v>79500</v>
      </c>
      <c r="F19" s="238">
        <f t="shared" si="0"/>
        <v>1590000</v>
      </c>
      <c r="H19" s="238">
        <v>15000</v>
      </c>
      <c r="I19" s="282"/>
      <c r="J19" s="238">
        <f t="shared" si="8"/>
        <v>303000</v>
      </c>
      <c r="K19" s="238">
        <f t="shared" si="9"/>
        <v>8470.5882352941171</v>
      </c>
      <c r="L19" s="238">
        <f t="shared" si="10"/>
        <v>159000</v>
      </c>
      <c r="M19" s="293">
        <f t="shared" si="11"/>
        <v>16833.333333333332</v>
      </c>
      <c r="N19" s="282"/>
      <c r="O19" s="298">
        <f t="shared" si="12"/>
        <v>1272000</v>
      </c>
      <c r="P19" s="238">
        <f t="shared" si="13"/>
        <v>16448.380367788384</v>
      </c>
      <c r="Q19" s="282"/>
      <c r="R19" s="238">
        <v>63810</v>
      </c>
    </row>
    <row r="20" spans="2:18">
      <c r="B20" s="357" t="s">
        <v>209</v>
      </c>
      <c r="C20" s="357">
        <v>10</v>
      </c>
      <c r="D20" s="215">
        <v>20</v>
      </c>
      <c r="E20" s="61">
        <f>E19</f>
        <v>79500</v>
      </c>
      <c r="F20" s="238">
        <f t="shared" si="0"/>
        <v>1590000</v>
      </c>
      <c r="H20" s="238">
        <v>15000</v>
      </c>
      <c r="I20" s="282"/>
      <c r="J20" s="238">
        <f t="shared" si="8"/>
        <v>303000</v>
      </c>
      <c r="K20" s="238">
        <f t="shared" si="9"/>
        <v>8470.5882352941171</v>
      </c>
      <c r="L20" s="238">
        <f t="shared" si="10"/>
        <v>159000</v>
      </c>
      <c r="M20" s="293">
        <f t="shared" si="11"/>
        <v>16833.333333333332</v>
      </c>
      <c r="N20" s="282"/>
      <c r="O20" s="298">
        <f t="shared" si="12"/>
        <v>1272000</v>
      </c>
      <c r="P20" s="238">
        <f t="shared" si="13"/>
        <v>16448.380367788384</v>
      </c>
      <c r="Q20" s="282"/>
      <c r="R20" s="238">
        <v>63810</v>
      </c>
    </row>
    <row r="21" spans="2:18">
      <c r="B21" s="357" t="s">
        <v>209</v>
      </c>
      <c r="C21" s="357">
        <v>11</v>
      </c>
      <c r="D21" s="215">
        <v>20</v>
      </c>
      <c r="E21" s="61">
        <f>[3]WHARTON!E10</f>
        <v>79000</v>
      </c>
      <c r="F21" s="238">
        <f t="shared" si="0"/>
        <v>1580000</v>
      </c>
      <c r="H21" s="238">
        <v>15000</v>
      </c>
      <c r="I21" s="282"/>
      <c r="J21" s="238">
        <f t="shared" si="8"/>
        <v>301000</v>
      </c>
      <c r="K21" s="238">
        <f t="shared" si="9"/>
        <v>8411.7647058823532</v>
      </c>
      <c r="L21" s="238">
        <f t="shared" si="10"/>
        <v>158000</v>
      </c>
      <c r="M21" s="293">
        <f t="shared" si="11"/>
        <v>16722.222222222223</v>
      </c>
      <c r="N21" s="282"/>
      <c r="O21" s="298">
        <f t="shared" si="12"/>
        <v>1264000</v>
      </c>
      <c r="P21" s="238">
        <f t="shared" si="13"/>
        <v>16347.160994406067</v>
      </c>
      <c r="Q21" s="282"/>
      <c r="R21" s="238">
        <v>63810</v>
      </c>
    </row>
    <row r="22" spans="2:18">
      <c r="B22" s="357" t="s">
        <v>209</v>
      </c>
      <c r="C22" s="357">
        <v>12</v>
      </c>
      <c r="D22" s="215">
        <v>20</v>
      </c>
      <c r="E22" s="61">
        <f>[3]WHARTON!E11</f>
        <v>79000</v>
      </c>
      <c r="F22" s="238">
        <f t="shared" si="0"/>
        <v>1580000</v>
      </c>
      <c r="H22" s="238">
        <v>15000</v>
      </c>
      <c r="I22" s="282"/>
      <c r="J22" s="238">
        <f t="shared" si="8"/>
        <v>301000</v>
      </c>
      <c r="K22" s="238">
        <f t="shared" si="9"/>
        <v>8411.7647058823532</v>
      </c>
      <c r="L22" s="238">
        <f t="shared" si="10"/>
        <v>158000</v>
      </c>
      <c r="M22" s="293">
        <f t="shared" si="11"/>
        <v>16722.222222222223</v>
      </c>
      <c r="N22" s="282"/>
      <c r="O22" s="298">
        <f t="shared" si="12"/>
        <v>1264000</v>
      </c>
      <c r="P22" s="238">
        <f t="shared" si="13"/>
        <v>16347.160994406067</v>
      </c>
      <c r="Q22" s="282"/>
      <c r="R22" s="238">
        <v>63810</v>
      </c>
    </row>
    <row r="23" spans="2:18" hidden="1">
      <c r="B23" s="372" t="s">
        <v>209</v>
      </c>
      <c r="C23" s="372">
        <v>13</v>
      </c>
      <c r="D23" s="370">
        <v>20</v>
      </c>
      <c r="E23" s="371">
        <f>[3]WHARTON!E12</f>
        <v>80000</v>
      </c>
      <c r="F23" s="373">
        <f t="shared" si="0"/>
        <v>1600000</v>
      </c>
      <c r="G23" s="363"/>
      <c r="H23" s="373">
        <v>15000</v>
      </c>
      <c r="I23" s="363"/>
      <c r="J23" s="238">
        <f t="shared" si="8"/>
        <v>305000</v>
      </c>
      <c r="K23" s="238">
        <f t="shared" si="9"/>
        <v>8529.4117647058829</v>
      </c>
      <c r="L23" s="238">
        <f t="shared" si="10"/>
        <v>160000</v>
      </c>
      <c r="M23" s="293">
        <f t="shared" si="11"/>
        <v>16944.444444444445</v>
      </c>
      <c r="N23" s="282"/>
      <c r="O23" s="298">
        <f t="shared" si="12"/>
        <v>1280000</v>
      </c>
      <c r="P23" s="238">
        <f t="shared" si="13"/>
        <v>16195.099741170701</v>
      </c>
      <c r="Q23" s="363"/>
      <c r="R23" s="373"/>
    </row>
    <row r="24" spans="2:18" hidden="1">
      <c r="B24" s="372" t="s">
        <v>209</v>
      </c>
      <c r="C24" s="372">
        <v>14</v>
      </c>
      <c r="D24" s="370">
        <v>20</v>
      </c>
      <c r="E24" s="371">
        <f>[3]WHARTON!A12</f>
        <v>79500</v>
      </c>
      <c r="F24" s="373">
        <f t="shared" si="0"/>
        <v>1590000</v>
      </c>
      <c r="G24" s="363"/>
      <c r="H24" s="373">
        <v>15000</v>
      </c>
      <c r="I24" s="363"/>
      <c r="J24" s="238">
        <f t="shared" si="8"/>
        <v>303000</v>
      </c>
      <c r="K24" s="238">
        <f t="shared" si="9"/>
        <v>8470.5882352941171</v>
      </c>
      <c r="L24" s="238">
        <f t="shared" si="10"/>
        <v>159000</v>
      </c>
      <c r="M24" s="293">
        <f t="shared" si="11"/>
        <v>16833.333333333332</v>
      </c>
      <c r="N24" s="282"/>
      <c r="O24" s="298">
        <f t="shared" si="12"/>
        <v>1272000</v>
      </c>
      <c r="P24" s="238">
        <f t="shared" si="13"/>
        <v>16093.880367788383</v>
      </c>
      <c r="Q24" s="363"/>
      <c r="R24" s="373"/>
    </row>
    <row r="25" spans="2:18">
      <c r="B25" s="357" t="s">
        <v>209</v>
      </c>
      <c r="C25" s="357">
        <v>15</v>
      </c>
      <c r="D25" s="215">
        <v>20</v>
      </c>
      <c r="E25" s="61">
        <f>[3]WHARTON!A11</f>
        <v>78500</v>
      </c>
      <c r="F25" s="238">
        <f t="shared" si="0"/>
        <v>1570000</v>
      </c>
      <c r="H25" s="238">
        <v>15000</v>
      </c>
      <c r="I25" s="282"/>
      <c r="J25" s="238">
        <f t="shared" si="8"/>
        <v>299000</v>
      </c>
      <c r="K25" s="238">
        <f t="shared" si="9"/>
        <v>8352.9411764705874</v>
      </c>
      <c r="L25" s="238">
        <f t="shared" si="10"/>
        <v>157000</v>
      </c>
      <c r="M25" s="293">
        <f t="shared" si="11"/>
        <v>16611.111111111109</v>
      </c>
      <c r="N25" s="282"/>
      <c r="O25" s="298">
        <f t="shared" si="12"/>
        <v>1256000</v>
      </c>
      <c r="P25" s="238">
        <f t="shared" si="13"/>
        <v>16242.330509912641</v>
      </c>
      <c r="Q25" s="282"/>
      <c r="R25" s="238">
        <v>63160</v>
      </c>
    </row>
    <row r="26" spans="2:18">
      <c r="B26" s="357" t="s">
        <v>209</v>
      </c>
      <c r="C26" s="357">
        <v>16</v>
      </c>
      <c r="D26" s="215">
        <v>20</v>
      </c>
      <c r="E26" s="61">
        <f>[3]WHARTON!A10</f>
        <v>78500</v>
      </c>
      <c r="F26" s="238">
        <f t="shared" si="0"/>
        <v>1570000</v>
      </c>
      <c r="H26" s="238">
        <v>15000</v>
      </c>
      <c r="I26" s="282"/>
      <c r="J26" s="238">
        <f t="shared" si="8"/>
        <v>299000</v>
      </c>
      <c r="K26" s="238">
        <f t="shared" si="9"/>
        <v>8352.9411764705874</v>
      </c>
      <c r="L26" s="238">
        <f t="shared" si="10"/>
        <v>157000</v>
      </c>
      <c r="M26" s="293">
        <f t="shared" si="11"/>
        <v>16611.111111111109</v>
      </c>
      <c r="N26" s="282"/>
      <c r="O26" s="298">
        <f t="shared" si="12"/>
        <v>1256000</v>
      </c>
      <c r="P26" s="238">
        <f t="shared" si="13"/>
        <v>16242.330509912641</v>
      </c>
      <c r="Q26" s="282"/>
      <c r="R26" s="238">
        <v>63160</v>
      </c>
    </row>
    <row r="27" spans="2:18">
      <c r="B27" s="357" t="s">
        <v>209</v>
      </c>
      <c r="C27" s="357">
        <v>17</v>
      </c>
      <c r="D27" s="215">
        <v>20</v>
      </c>
      <c r="E27" s="61">
        <f>[3]WHARTON!A9</f>
        <v>78500</v>
      </c>
      <c r="F27" s="238">
        <f t="shared" si="0"/>
        <v>1570000</v>
      </c>
      <c r="H27" s="238">
        <v>15000</v>
      </c>
      <c r="I27" s="282"/>
      <c r="J27" s="238">
        <f t="shared" si="8"/>
        <v>299000</v>
      </c>
      <c r="K27" s="238">
        <f t="shared" si="9"/>
        <v>8352.9411764705874</v>
      </c>
      <c r="L27" s="238">
        <f t="shared" si="10"/>
        <v>157000</v>
      </c>
      <c r="M27" s="293">
        <f t="shared" si="11"/>
        <v>16611.111111111109</v>
      </c>
      <c r="N27" s="282"/>
      <c r="O27" s="298">
        <f t="shared" si="12"/>
        <v>1256000</v>
      </c>
      <c r="P27" s="238">
        <f t="shared" si="13"/>
        <v>16242.330509912641</v>
      </c>
      <c r="Q27" s="282"/>
      <c r="R27" s="238">
        <v>63160</v>
      </c>
    </row>
    <row r="28" spans="2:18" hidden="1">
      <c r="B28" s="372" t="s">
        <v>209</v>
      </c>
      <c r="C28" s="372">
        <v>18</v>
      </c>
      <c r="D28" s="370">
        <v>20</v>
      </c>
      <c r="E28" s="371">
        <f>[3]WHARTON!A8</f>
        <v>78500</v>
      </c>
      <c r="F28" s="373">
        <f t="shared" si="0"/>
        <v>1570000</v>
      </c>
      <c r="G28" s="363"/>
      <c r="H28" s="373">
        <v>15000</v>
      </c>
      <c r="I28" s="363"/>
      <c r="J28" s="238">
        <f t="shared" si="8"/>
        <v>299000</v>
      </c>
      <c r="K28" s="238">
        <f t="shared" si="9"/>
        <v>8352.9411764705874</v>
      </c>
      <c r="L28" s="238">
        <f t="shared" si="10"/>
        <v>157000</v>
      </c>
      <c r="M28" s="293">
        <f t="shared" si="11"/>
        <v>16611.111111111109</v>
      </c>
      <c r="N28" s="282"/>
      <c r="O28" s="298">
        <f t="shared" si="12"/>
        <v>1256000</v>
      </c>
      <c r="P28" s="238">
        <f t="shared" si="13"/>
        <v>16242.330509912641</v>
      </c>
      <c r="Q28" s="363"/>
      <c r="R28" s="238">
        <v>63160</v>
      </c>
    </row>
    <row r="29" spans="2:18" hidden="1">
      <c r="B29" s="372" t="s">
        <v>209</v>
      </c>
      <c r="C29" s="372">
        <v>19</v>
      </c>
      <c r="D29" s="370">
        <v>20</v>
      </c>
      <c r="E29" s="371">
        <f>[3]WHARTON!A7</f>
        <v>78500</v>
      </c>
      <c r="F29" s="373">
        <f t="shared" si="0"/>
        <v>1570000</v>
      </c>
      <c r="G29" s="363"/>
      <c r="H29" s="373">
        <v>15000</v>
      </c>
      <c r="I29" s="363"/>
      <c r="J29" s="238">
        <f t="shared" si="8"/>
        <v>299000</v>
      </c>
      <c r="K29" s="238">
        <f t="shared" si="9"/>
        <v>8352.9411764705874</v>
      </c>
      <c r="L29" s="238">
        <f t="shared" si="10"/>
        <v>157000</v>
      </c>
      <c r="M29" s="293">
        <f t="shared" si="11"/>
        <v>16611.111111111109</v>
      </c>
      <c r="N29" s="282"/>
      <c r="O29" s="298">
        <f t="shared" si="12"/>
        <v>1256000</v>
      </c>
      <c r="P29" s="238">
        <f t="shared" si="13"/>
        <v>16242.330509912641</v>
      </c>
      <c r="Q29" s="363"/>
      <c r="R29" s="238">
        <v>63160</v>
      </c>
    </row>
    <row r="30" spans="2:18">
      <c r="B30" s="357" t="s">
        <v>209</v>
      </c>
      <c r="C30" s="357">
        <v>20</v>
      </c>
      <c r="D30" s="215">
        <v>20</v>
      </c>
      <c r="E30" s="61">
        <f>[3]WHARTON!A6</f>
        <v>78500</v>
      </c>
      <c r="F30" s="238">
        <f t="shared" si="0"/>
        <v>1570000</v>
      </c>
      <c r="H30" s="238">
        <v>15000</v>
      </c>
      <c r="I30" s="282"/>
      <c r="J30" s="238">
        <f t="shared" si="8"/>
        <v>299000</v>
      </c>
      <c r="K30" s="238">
        <f t="shared" si="9"/>
        <v>8352.9411764705874</v>
      </c>
      <c r="L30" s="238">
        <f t="shared" si="10"/>
        <v>157000</v>
      </c>
      <c r="M30" s="293">
        <f t="shared" si="11"/>
        <v>16611.111111111109</v>
      </c>
      <c r="N30" s="282"/>
      <c r="O30" s="298">
        <f t="shared" si="12"/>
        <v>1256000</v>
      </c>
      <c r="P30" s="238">
        <f t="shared" si="13"/>
        <v>16242.330509912641</v>
      </c>
      <c r="Q30" s="282"/>
      <c r="R30" s="238">
        <v>63160</v>
      </c>
    </row>
    <row r="31" spans="2:18">
      <c r="B31" s="357" t="s">
        <v>209</v>
      </c>
      <c r="C31" s="357">
        <v>21</v>
      </c>
      <c r="D31" s="215">
        <v>20</v>
      </c>
      <c r="E31" s="61">
        <f>[3]WHARTON!A5</f>
        <v>78500</v>
      </c>
      <c r="F31" s="238">
        <f t="shared" si="0"/>
        <v>1570000</v>
      </c>
      <c r="H31" s="238">
        <v>15000</v>
      </c>
      <c r="I31" s="282"/>
      <c r="J31" s="238">
        <f t="shared" si="8"/>
        <v>299000</v>
      </c>
      <c r="K31" s="238">
        <f t="shared" si="9"/>
        <v>8352.9411764705874</v>
      </c>
      <c r="L31" s="238">
        <f t="shared" si="10"/>
        <v>157000</v>
      </c>
      <c r="M31" s="293">
        <f t="shared" si="11"/>
        <v>16611.111111111109</v>
      </c>
      <c r="N31" s="282"/>
      <c r="O31" s="298">
        <f t="shared" si="12"/>
        <v>1256000</v>
      </c>
      <c r="P31" s="238">
        <f t="shared" si="13"/>
        <v>16242.330509912641</v>
      </c>
      <c r="Q31" s="282"/>
      <c r="R31" s="238">
        <v>63160</v>
      </c>
    </row>
    <row r="32" spans="2:18">
      <c r="B32" s="357" t="s">
        <v>209</v>
      </c>
      <c r="C32" s="357">
        <v>22</v>
      </c>
      <c r="D32" s="215">
        <v>20</v>
      </c>
      <c r="E32" s="61">
        <f>[3]WHARTON!A4</f>
        <v>79500</v>
      </c>
      <c r="F32" s="238">
        <f t="shared" si="0"/>
        <v>1590000</v>
      </c>
      <c r="H32" s="238">
        <v>15000</v>
      </c>
      <c r="I32" s="282"/>
      <c r="J32" s="238">
        <f t="shared" ref="J32:J95" si="14">F32*0.2-H32</f>
        <v>303000</v>
      </c>
      <c r="K32" s="238">
        <f t="shared" ref="K32:K95" si="15">(F32*0.1-H32)/17</f>
        <v>8470.5882352941171</v>
      </c>
      <c r="L32" s="238">
        <f t="shared" ref="L32:L95" si="16">F32*0.1</f>
        <v>159000</v>
      </c>
      <c r="M32" s="293">
        <f t="shared" ref="M32:M95" si="17">J32/18</f>
        <v>16833.333333333332</v>
      </c>
      <c r="N32" s="282"/>
      <c r="O32" s="298">
        <f t="shared" ref="O32:O95" si="18">F32*0.8</f>
        <v>1272000</v>
      </c>
      <c r="P32" s="238">
        <f t="shared" ref="P32:P95" si="19">PMT(13%/12,180,-O32)+R32/180</f>
        <v>16448.380367788384</v>
      </c>
      <c r="Q32" s="282"/>
      <c r="R32" s="238">
        <f>R20</f>
        <v>63810</v>
      </c>
    </row>
    <row r="33" spans="2:18">
      <c r="B33" s="357" t="s">
        <v>209</v>
      </c>
      <c r="C33" s="357">
        <v>23</v>
      </c>
      <c r="D33" s="215">
        <v>20</v>
      </c>
      <c r="E33" s="61">
        <f>[3]WHARTON!E4</f>
        <v>79500</v>
      </c>
      <c r="F33" s="238">
        <f t="shared" si="0"/>
        <v>1590000</v>
      </c>
      <c r="H33" s="238">
        <v>15000</v>
      </c>
      <c r="I33" s="282"/>
      <c r="J33" s="238">
        <f t="shared" si="14"/>
        <v>303000</v>
      </c>
      <c r="K33" s="238">
        <f t="shared" si="15"/>
        <v>8470.5882352941171</v>
      </c>
      <c r="L33" s="238">
        <f t="shared" si="16"/>
        <v>159000</v>
      </c>
      <c r="M33" s="293">
        <f t="shared" si="17"/>
        <v>16833.333333333332</v>
      </c>
      <c r="N33" s="282"/>
      <c r="O33" s="298">
        <f t="shared" si="18"/>
        <v>1272000</v>
      </c>
      <c r="P33" s="238">
        <f t="shared" si="19"/>
        <v>16448.380367788384</v>
      </c>
      <c r="Q33" s="282"/>
      <c r="R33" s="238">
        <f>R32</f>
        <v>63810</v>
      </c>
    </row>
    <row r="34" spans="2:18">
      <c r="B34" s="357" t="s">
        <v>209</v>
      </c>
      <c r="C34" s="357">
        <v>24</v>
      </c>
      <c r="D34" s="215">
        <v>20</v>
      </c>
      <c r="E34" s="61">
        <f>[3]WHARTON!E5</f>
        <v>79000</v>
      </c>
      <c r="F34" s="238">
        <f t="shared" si="0"/>
        <v>1580000</v>
      </c>
      <c r="H34" s="238">
        <v>15000</v>
      </c>
      <c r="I34" s="282"/>
      <c r="J34" s="238">
        <f t="shared" si="14"/>
        <v>301000</v>
      </c>
      <c r="K34" s="238">
        <f t="shared" si="15"/>
        <v>8411.7647058823532</v>
      </c>
      <c r="L34" s="238">
        <f t="shared" si="16"/>
        <v>158000</v>
      </c>
      <c r="M34" s="293">
        <f t="shared" si="17"/>
        <v>16722.222222222223</v>
      </c>
      <c r="N34" s="282"/>
      <c r="O34" s="298">
        <f t="shared" si="18"/>
        <v>1264000</v>
      </c>
      <c r="P34" s="238">
        <f t="shared" si="19"/>
        <v>16345.355438850513</v>
      </c>
      <c r="Q34" s="282"/>
      <c r="R34" s="238">
        <v>63485</v>
      </c>
    </row>
    <row r="35" spans="2:18">
      <c r="B35" s="357" t="s">
        <v>209</v>
      </c>
      <c r="C35" s="357">
        <v>25</v>
      </c>
      <c r="D35" s="215">
        <v>20</v>
      </c>
      <c r="E35" s="61">
        <f>[3]WHARTON!E5</f>
        <v>79000</v>
      </c>
      <c r="F35" s="238">
        <f t="shared" si="0"/>
        <v>1580000</v>
      </c>
      <c r="H35" s="238">
        <v>15000</v>
      </c>
      <c r="I35" s="282"/>
      <c r="J35" s="238">
        <f t="shared" si="14"/>
        <v>301000</v>
      </c>
      <c r="K35" s="238">
        <f t="shared" si="15"/>
        <v>8411.7647058823532</v>
      </c>
      <c r="L35" s="238">
        <f t="shared" si="16"/>
        <v>158000</v>
      </c>
      <c r="M35" s="293">
        <f t="shared" si="17"/>
        <v>16722.222222222223</v>
      </c>
      <c r="N35" s="282"/>
      <c r="O35" s="298">
        <f t="shared" si="18"/>
        <v>1264000</v>
      </c>
      <c r="P35" s="238">
        <f t="shared" si="19"/>
        <v>16345.355438850513</v>
      </c>
      <c r="Q35" s="282"/>
      <c r="R35" s="238">
        <f>R34</f>
        <v>63485</v>
      </c>
    </row>
    <row r="36" spans="2:18">
      <c r="B36" s="357" t="s">
        <v>209</v>
      </c>
      <c r="C36" s="357">
        <v>26</v>
      </c>
      <c r="D36" s="215">
        <v>20</v>
      </c>
      <c r="E36" s="61">
        <f>[3]WHARTON!F5</f>
        <v>78500</v>
      </c>
      <c r="F36" s="238">
        <f t="shared" si="0"/>
        <v>1570000</v>
      </c>
      <c r="H36" s="238">
        <v>15000</v>
      </c>
      <c r="I36" s="282"/>
      <c r="J36" s="238">
        <f t="shared" si="14"/>
        <v>299000</v>
      </c>
      <c r="K36" s="238">
        <f t="shared" si="15"/>
        <v>8352.9411764705874</v>
      </c>
      <c r="L36" s="238">
        <f t="shared" si="16"/>
        <v>157000</v>
      </c>
      <c r="M36" s="293">
        <f t="shared" si="17"/>
        <v>16611.111111111109</v>
      </c>
      <c r="N36" s="282"/>
      <c r="O36" s="298">
        <f t="shared" si="18"/>
        <v>1256000</v>
      </c>
      <c r="P36" s="238">
        <f t="shared" si="19"/>
        <v>16242.330509912641</v>
      </c>
      <c r="Q36" s="282"/>
      <c r="R36" s="238">
        <v>63160</v>
      </c>
    </row>
    <row r="37" spans="2:18">
      <c r="B37" s="357" t="s">
        <v>209</v>
      </c>
      <c r="C37" s="357">
        <v>27</v>
      </c>
      <c r="D37" s="215">
        <v>20</v>
      </c>
      <c r="E37" s="61">
        <f>[3]WHARTON!G5</f>
        <v>78500</v>
      </c>
      <c r="F37" s="238">
        <f t="shared" si="0"/>
        <v>1570000</v>
      </c>
      <c r="H37" s="238">
        <v>15000</v>
      </c>
      <c r="I37" s="282"/>
      <c r="J37" s="238">
        <f t="shared" si="14"/>
        <v>299000</v>
      </c>
      <c r="K37" s="238">
        <f t="shared" si="15"/>
        <v>8352.9411764705874</v>
      </c>
      <c r="L37" s="238">
        <f t="shared" si="16"/>
        <v>157000</v>
      </c>
      <c r="M37" s="293">
        <f t="shared" si="17"/>
        <v>16611.111111111109</v>
      </c>
      <c r="N37" s="282"/>
      <c r="O37" s="298">
        <f t="shared" si="18"/>
        <v>1256000</v>
      </c>
      <c r="P37" s="238">
        <f t="shared" si="19"/>
        <v>16242.330509912641</v>
      </c>
      <c r="Q37" s="282"/>
      <c r="R37" s="238">
        <v>63160</v>
      </c>
    </row>
    <row r="38" spans="2:18">
      <c r="B38" s="357" t="s">
        <v>209</v>
      </c>
      <c r="C38" s="357">
        <v>28</v>
      </c>
      <c r="D38" s="215">
        <v>20</v>
      </c>
      <c r="E38" s="61">
        <f>[3]WHARTON!H5</f>
        <v>79000</v>
      </c>
      <c r="F38" s="238">
        <f t="shared" si="0"/>
        <v>1580000</v>
      </c>
      <c r="H38" s="238">
        <v>15000</v>
      </c>
      <c r="I38" s="282"/>
      <c r="J38" s="238">
        <f t="shared" si="14"/>
        <v>301000</v>
      </c>
      <c r="K38" s="238">
        <f t="shared" si="15"/>
        <v>8411.7647058823532</v>
      </c>
      <c r="L38" s="238">
        <f t="shared" si="16"/>
        <v>158000</v>
      </c>
      <c r="M38" s="293">
        <f t="shared" si="17"/>
        <v>16722.222222222223</v>
      </c>
      <c r="N38" s="282"/>
      <c r="O38" s="298">
        <f t="shared" si="18"/>
        <v>1264000</v>
      </c>
      <c r="P38" s="238">
        <f t="shared" si="19"/>
        <v>16345.355438850513</v>
      </c>
      <c r="Q38" s="282"/>
      <c r="R38" s="238">
        <f>R35</f>
        <v>63485</v>
      </c>
    </row>
    <row r="39" spans="2:18">
      <c r="B39" s="357" t="s">
        <v>209</v>
      </c>
      <c r="C39" s="357">
        <v>29</v>
      </c>
      <c r="D39" s="215">
        <v>20</v>
      </c>
      <c r="E39" s="61">
        <f>[3]WHARTON!H5</f>
        <v>79000</v>
      </c>
      <c r="F39" s="238">
        <f t="shared" si="0"/>
        <v>1580000</v>
      </c>
      <c r="H39" s="238">
        <v>15000</v>
      </c>
      <c r="I39" s="282"/>
      <c r="J39" s="238">
        <f t="shared" si="14"/>
        <v>301000</v>
      </c>
      <c r="K39" s="238">
        <f t="shared" si="15"/>
        <v>8411.7647058823532</v>
      </c>
      <c r="L39" s="238">
        <f t="shared" si="16"/>
        <v>158000</v>
      </c>
      <c r="M39" s="293">
        <f t="shared" si="17"/>
        <v>16722.222222222223</v>
      </c>
      <c r="N39" s="282"/>
      <c r="O39" s="298">
        <f t="shared" si="18"/>
        <v>1264000</v>
      </c>
      <c r="P39" s="238">
        <f t="shared" si="19"/>
        <v>16345.355438850513</v>
      </c>
      <c r="Q39" s="282"/>
      <c r="R39" s="238">
        <f>R38</f>
        <v>63485</v>
      </c>
    </row>
    <row r="40" spans="2:18">
      <c r="B40" s="357" t="s">
        <v>209</v>
      </c>
      <c r="C40" s="357">
        <v>30</v>
      </c>
      <c r="D40" s="215">
        <v>20</v>
      </c>
      <c r="E40" s="61">
        <f>[3]WHARTON!H4</f>
        <v>79500</v>
      </c>
      <c r="F40" s="238">
        <f t="shared" si="0"/>
        <v>1590000</v>
      </c>
      <c r="H40" s="238">
        <v>15000</v>
      </c>
      <c r="I40" s="282"/>
      <c r="J40" s="238">
        <f t="shared" si="14"/>
        <v>303000</v>
      </c>
      <c r="K40" s="238">
        <f t="shared" si="15"/>
        <v>8470.5882352941171</v>
      </c>
      <c r="L40" s="238">
        <f t="shared" si="16"/>
        <v>159000</v>
      </c>
      <c r="M40" s="293">
        <f t="shared" si="17"/>
        <v>16833.333333333332</v>
      </c>
      <c r="N40" s="282"/>
      <c r="O40" s="298">
        <f t="shared" si="18"/>
        <v>1272000</v>
      </c>
      <c r="P40" s="238">
        <f t="shared" si="19"/>
        <v>16448.380367788384</v>
      </c>
      <c r="Q40" s="282"/>
      <c r="R40" s="238">
        <f>R32</f>
        <v>63810</v>
      </c>
    </row>
    <row r="41" spans="2:18">
      <c r="B41" s="357"/>
      <c r="C41" s="357"/>
      <c r="D41" s="215"/>
      <c r="E41" s="61"/>
      <c r="F41" s="238">
        <f t="shared" si="0"/>
        <v>0</v>
      </c>
      <c r="H41" s="238"/>
      <c r="I41" s="282"/>
      <c r="J41" s="238">
        <f t="shared" si="14"/>
        <v>0</v>
      </c>
      <c r="K41" s="238">
        <f t="shared" si="15"/>
        <v>0</v>
      </c>
      <c r="L41" s="238">
        <f t="shared" si="16"/>
        <v>0</v>
      </c>
      <c r="M41" s="293">
        <f t="shared" si="17"/>
        <v>0</v>
      </c>
      <c r="N41" s="282"/>
      <c r="O41" s="298">
        <f t="shared" si="18"/>
        <v>0</v>
      </c>
      <c r="P41" s="238">
        <f t="shared" si="19"/>
        <v>0</v>
      </c>
      <c r="Q41" s="282"/>
      <c r="R41" s="238"/>
    </row>
    <row r="42" spans="2:18">
      <c r="B42" s="357" t="s">
        <v>208</v>
      </c>
      <c r="C42" s="357">
        <v>1</v>
      </c>
      <c r="D42" s="215">
        <v>20</v>
      </c>
      <c r="E42" s="61">
        <f t="shared" ref="E42:E71" si="20">E11*1.03</f>
        <v>82400</v>
      </c>
      <c r="F42" s="238">
        <f t="shared" si="0"/>
        <v>1648000</v>
      </c>
      <c r="H42" s="238">
        <v>15000</v>
      </c>
      <c r="I42" s="282"/>
      <c r="J42" s="238">
        <f t="shared" si="14"/>
        <v>314600</v>
      </c>
      <c r="K42" s="238">
        <f t="shared" si="15"/>
        <v>8811.7647058823532</v>
      </c>
      <c r="L42" s="238">
        <f t="shared" si="16"/>
        <v>164800</v>
      </c>
      <c r="M42" s="293">
        <f t="shared" si="17"/>
        <v>17477.777777777777</v>
      </c>
      <c r="N42" s="282"/>
      <c r="O42" s="298">
        <f t="shared" si="18"/>
        <v>1318400</v>
      </c>
      <c r="P42" s="238">
        <f t="shared" si="19"/>
        <v>17045.924955628045</v>
      </c>
      <c r="Q42" s="282"/>
      <c r="R42" s="238">
        <v>65695</v>
      </c>
    </row>
    <row r="43" spans="2:18">
      <c r="B43" s="357" t="s">
        <v>208</v>
      </c>
      <c r="C43" s="357">
        <v>2</v>
      </c>
      <c r="D43" s="215">
        <v>20</v>
      </c>
      <c r="E43" s="61">
        <f t="shared" si="20"/>
        <v>81370</v>
      </c>
      <c r="F43" s="238">
        <f t="shared" ref="F43:F74" si="21">D43*E43</f>
        <v>1627400</v>
      </c>
      <c r="H43" s="238">
        <v>15000</v>
      </c>
      <c r="I43" s="282"/>
      <c r="J43" s="238">
        <f t="shared" si="14"/>
        <v>310480</v>
      </c>
      <c r="K43" s="238">
        <f t="shared" si="15"/>
        <v>8690.5882352941171</v>
      </c>
      <c r="L43" s="238">
        <f t="shared" si="16"/>
        <v>162740</v>
      </c>
      <c r="M43" s="293">
        <f t="shared" si="17"/>
        <v>17248.888888888891</v>
      </c>
      <c r="N43" s="282"/>
      <c r="O43" s="298">
        <f t="shared" si="18"/>
        <v>1301920</v>
      </c>
      <c r="P43" s="238">
        <f t="shared" si="19"/>
        <v>16833.696379793804</v>
      </c>
      <c r="Q43" s="282"/>
      <c r="R43" s="238">
        <v>65026</v>
      </c>
    </row>
    <row r="44" spans="2:18">
      <c r="B44" s="357" t="s">
        <v>208</v>
      </c>
      <c r="C44" s="357">
        <v>3</v>
      </c>
      <c r="D44" s="215">
        <v>20</v>
      </c>
      <c r="E44" s="61">
        <f t="shared" si="20"/>
        <v>81370</v>
      </c>
      <c r="F44" s="238">
        <f t="shared" si="21"/>
        <v>1627400</v>
      </c>
      <c r="H44" s="238">
        <v>15000</v>
      </c>
      <c r="I44" s="282"/>
      <c r="J44" s="238">
        <f t="shared" si="14"/>
        <v>310480</v>
      </c>
      <c r="K44" s="238">
        <f t="shared" si="15"/>
        <v>8690.5882352941171</v>
      </c>
      <c r="L44" s="238">
        <f t="shared" si="16"/>
        <v>162740</v>
      </c>
      <c r="M44" s="293">
        <f t="shared" si="17"/>
        <v>17248.888888888891</v>
      </c>
      <c r="N44" s="282"/>
      <c r="O44" s="298">
        <f t="shared" si="18"/>
        <v>1301920</v>
      </c>
      <c r="P44" s="238">
        <f t="shared" si="19"/>
        <v>16833.696379793804</v>
      </c>
      <c r="Q44" s="282"/>
      <c r="R44" s="238">
        <f>R43</f>
        <v>65026</v>
      </c>
    </row>
    <row r="45" spans="2:18">
      <c r="B45" s="357" t="s">
        <v>208</v>
      </c>
      <c r="C45" s="357">
        <v>4</v>
      </c>
      <c r="D45" s="215">
        <v>20</v>
      </c>
      <c r="E45" s="61">
        <f t="shared" si="20"/>
        <v>81370</v>
      </c>
      <c r="F45" s="238">
        <f t="shared" si="21"/>
        <v>1627400</v>
      </c>
      <c r="H45" s="238">
        <v>15000</v>
      </c>
      <c r="I45" s="282"/>
      <c r="J45" s="238">
        <f t="shared" si="14"/>
        <v>310480</v>
      </c>
      <c r="K45" s="238">
        <f t="shared" si="15"/>
        <v>8690.5882352941171</v>
      </c>
      <c r="L45" s="238">
        <f t="shared" si="16"/>
        <v>162740</v>
      </c>
      <c r="M45" s="293">
        <f t="shared" si="17"/>
        <v>17248.888888888891</v>
      </c>
      <c r="N45" s="282"/>
      <c r="O45" s="298">
        <f t="shared" si="18"/>
        <v>1301920</v>
      </c>
      <c r="P45" s="238">
        <f t="shared" si="19"/>
        <v>16833.696379793804</v>
      </c>
      <c r="Q45" s="282"/>
      <c r="R45" s="238">
        <f>R44</f>
        <v>65026</v>
      </c>
    </row>
    <row r="46" spans="2:18">
      <c r="B46" s="357" t="s">
        <v>208</v>
      </c>
      <c r="C46" s="357">
        <v>5</v>
      </c>
      <c r="D46" s="215">
        <v>20</v>
      </c>
      <c r="E46" s="61">
        <f t="shared" si="20"/>
        <v>82400</v>
      </c>
      <c r="F46" s="238">
        <f t="shared" si="21"/>
        <v>1648000</v>
      </c>
      <c r="H46" s="238">
        <v>15000</v>
      </c>
      <c r="I46" s="282"/>
      <c r="J46" s="238">
        <f t="shared" si="14"/>
        <v>314600</v>
      </c>
      <c r="K46" s="238">
        <f t="shared" si="15"/>
        <v>8811.7647058823532</v>
      </c>
      <c r="L46" s="238">
        <f t="shared" si="16"/>
        <v>164800</v>
      </c>
      <c r="M46" s="293">
        <f t="shared" si="17"/>
        <v>17477.777777777777</v>
      </c>
      <c r="N46" s="282"/>
      <c r="O46" s="298">
        <f t="shared" si="18"/>
        <v>1318400</v>
      </c>
      <c r="P46" s="238">
        <f t="shared" si="19"/>
        <v>17045.924955628045</v>
      </c>
      <c r="Q46" s="282"/>
      <c r="R46" s="238">
        <v>65695</v>
      </c>
    </row>
    <row r="47" spans="2:18">
      <c r="B47" s="357" t="s">
        <v>208</v>
      </c>
      <c r="C47" s="357">
        <v>6</v>
      </c>
      <c r="D47" s="215">
        <v>20</v>
      </c>
      <c r="E47" s="61">
        <f t="shared" si="20"/>
        <v>82400</v>
      </c>
      <c r="F47" s="238">
        <f t="shared" si="21"/>
        <v>1648000</v>
      </c>
      <c r="H47" s="238">
        <v>15000</v>
      </c>
      <c r="I47" s="282"/>
      <c r="J47" s="238">
        <f t="shared" si="14"/>
        <v>314600</v>
      </c>
      <c r="K47" s="238">
        <f t="shared" si="15"/>
        <v>8811.7647058823532</v>
      </c>
      <c r="L47" s="238">
        <f t="shared" si="16"/>
        <v>164800</v>
      </c>
      <c r="M47" s="293">
        <f t="shared" si="17"/>
        <v>17477.777777777777</v>
      </c>
      <c r="N47" s="282"/>
      <c r="O47" s="298">
        <f t="shared" si="18"/>
        <v>1318400</v>
      </c>
      <c r="P47" s="238">
        <f t="shared" si="19"/>
        <v>17045.924955628045</v>
      </c>
      <c r="Q47" s="282"/>
      <c r="R47" s="238">
        <f>R46</f>
        <v>65695</v>
      </c>
    </row>
    <row r="48" spans="2:18">
      <c r="B48" s="357" t="s">
        <v>208</v>
      </c>
      <c r="C48" s="357">
        <v>7</v>
      </c>
      <c r="D48" s="215">
        <v>20</v>
      </c>
      <c r="E48" s="61">
        <f t="shared" si="20"/>
        <v>81370</v>
      </c>
      <c r="F48" s="238">
        <f t="shared" si="21"/>
        <v>1627400</v>
      </c>
      <c r="H48" s="238">
        <v>15000</v>
      </c>
      <c r="I48" s="282"/>
      <c r="J48" s="238">
        <f t="shared" si="14"/>
        <v>310480</v>
      </c>
      <c r="K48" s="238">
        <f t="shared" si="15"/>
        <v>8690.5882352941171</v>
      </c>
      <c r="L48" s="238">
        <f t="shared" si="16"/>
        <v>162740</v>
      </c>
      <c r="M48" s="293">
        <f t="shared" si="17"/>
        <v>17248.888888888891</v>
      </c>
      <c r="N48" s="282"/>
      <c r="O48" s="298">
        <f t="shared" si="18"/>
        <v>1301920</v>
      </c>
      <c r="P48" s="238">
        <f t="shared" si="19"/>
        <v>16833.696379793804</v>
      </c>
      <c r="Q48" s="282"/>
      <c r="R48" s="238">
        <v>65026</v>
      </c>
    </row>
    <row r="49" spans="2:18">
      <c r="B49" s="357" t="s">
        <v>208</v>
      </c>
      <c r="C49" s="357">
        <v>8</v>
      </c>
      <c r="D49" s="215">
        <v>20</v>
      </c>
      <c r="E49" s="61">
        <f t="shared" si="20"/>
        <v>81370</v>
      </c>
      <c r="F49" s="238">
        <f t="shared" si="21"/>
        <v>1627400</v>
      </c>
      <c r="H49" s="238">
        <v>15000</v>
      </c>
      <c r="I49" s="282"/>
      <c r="J49" s="238">
        <f t="shared" si="14"/>
        <v>310480</v>
      </c>
      <c r="K49" s="238">
        <f t="shared" si="15"/>
        <v>8690.5882352941171</v>
      </c>
      <c r="L49" s="238">
        <f t="shared" si="16"/>
        <v>162740</v>
      </c>
      <c r="M49" s="293">
        <f t="shared" si="17"/>
        <v>17248.888888888891</v>
      </c>
      <c r="N49" s="282"/>
      <c r="O49" s="298">
        <f t="shared" si="18"/>
        <v>1301920</v>
      </c>
      <c r="P49" s="238">
        <f t="shared" si="19"/>
        <v>16833.696379793804</v>
      </c>
      <c r="Q49" s="282"/>
      <c r="R49" s="238">
        <v>65026</v>
      </c>
    </row>
    <row r="50" spans="2:18">
      <c r="B50" s="357" t="s">
        <v>208</v>
      </c>
      <c r="C50" s="357">
        <v>9</v>
      </c>
      <c r="D50" s="215">
        <v>20</v>
      </c>
      <c r="E50" s="61">
        <f t="shared" si="20"/>
        <v>81885</v>
      </c>
      <c r="F50" s="238">
        <f t="shared" si="21"/>
        <v>1637700</v>
      </c>
      <c r="H50" s="238">
        <v>15000</v>
      </c>
      <c r="I50" s="282"/>
      <c r="J50" s="238">
        <f t="shared" si="14"/>
        <v>312540</v>
      </c>
      <c r="K50" s="238">
        <f t="shared" si="15"/>
        <v>8751.176470588236</v>
      </c>
      <c r="L50" s="238">
        <f t="shared" si="16"/>
        <v>163770</v>
      </c>
      <c r="M50" s="293">
        <f t="shared" si="17"/>
        <v>17363.333333333332</v>
      </c>
      <c r="N50" s="282"/>
      <c r="O50" s="298">
        <f t="shared" si="18"/>
        <v>1310160</v>
      </c>
      <c r="P50" s="238">
        <f t="shared" si="19"/>
        <v>16939.807889933145</v>
      </c>
      <c r="Q50" s="282"/>
      <c r="R50" s="238">
        <v>65360</v>
      </c>
    </row>
    <row r="51" spans="2:18">
      <c r="B51" s="357" t="s">
        <v>208</v>
      </c>
      <c r="C51" s="357">
        <v>10</v>
      </c>
      <c r="D51" s="215">
        <v>20</v>
      </c>
      <c r="E51" s="61">
        <f t="shared" si="20"/>
        <v>81885</v>
      </c>
      <c r="F51" s="238">
        <f t="shared" si="21"/>
        <v>1637700</v>
      </c>
      <c r="H51" s="238">
        <v>15000</v>
      </c>
      <c r="I51" s="282"/>
      <c r="J51" s="238">
        <f t="shared" si="14"/>
        <v>312540</v>
      </c>
      <c r="K51" s="238">
        <f t="shared" si="15"/>
        <v>8751.176470588236</v>
      </c>
      <c r="L51" s="238">
        <f t="shared" si="16"/>
        <v>163770</v>
      </c>
      <c r="M51" s="293">
        <f t="shared" si="17"/>
        <v>17363.333333333332</v>
      </c>
      <c r="N51" s="282"/>
      <c r="O51" s="298">
        <f t="shared" si="18"/>
        <v>1310160</v>
      </c>
      <c r="P51" s="238">
        <f t="shared" si="19"/>
        <v>16939.807889933145</v>
      </c>
      <c r="Q51" s="282"/>
      <c r="R51" s="238">
        <f>R50</f>
        <v>65360</v>
      </c>
    </row>
    <row r="52" spans="2:18">
      <c r="B52" s="357" t="s">
        <v>208</v>
      </c>
      <c r="C52" s="357">
        <v>11</v>
      </c>
      <c r="D52" s="215">
        <v>20</v>
      </c>
      <c r="E52" s="61">
        <f t="shared" si="20"/>
        <v>81370</v>
      </c>
      <c r="F52" s="238">
        <f t="shared" si="21"/>
        <v>1627400</v>
      </c>
      <c r="H52" s="238">
        <v>15000</v>
      </c>
      <c r="I52" s="282"/>
      <c r="J52" s="238">
        <f t="shared" si="14"/>
        <v>310480</v>
      </c>
      <c r="K52" s="238">
        <f t="shared" si="15"/>
        <v>8690.5882352941171</v>
      </c>
      <c r="L52" s="238">
        <f t="shared" si="16"/>
        <v>162740</v>
      </c>
      <c r="M52" s="293">
        <f t="shared" si="17"/>
        <v>17248.888888888891</v>
      </c>
      <c r="N52" s="282"/>
      <c r="O52" s="298">
        <f t="shared" si="18"/>
        <v>1301920</v>
      </c>
      <c r="P52" s="238">
        <f t="shared" si="19"/>
        <v>16833.696379793804</v>
      </c>
      <c r="Q52" s="282"/>
      <c r="R52" s="238">
        <f>R53</f>
        <v>65026</v>
      </c>
    </row>
    <row r="53" spans="2:18">
      <c r="B53" s="357" t="s">
        <v>208</v>
      </c>
      <c r="C53" s="357">
        <v>12</v>
      </c>
      <c r="D53" s="215">
        <v>20</v>
      </c>
      <c r="E53" s="61">
        <f t="shared" si="20"/>
        <v>81370</v>
      </c>
      <c r="F53" s="238">
        <f t="shared" si="21"/>
        <v>1627400</v>
      </c>
      <c r="H53" s="238">
        <v>15000</v>
      </c>
      <c r="I53" s="282"/>
      <c r="J53" s="238">
        <f t="shared" si="14"/>
        <v>310480</v>
      </c>
      <c r="K53" s="238">
        <f t="shared" si="15"/>
        <v>8690.5882352941171</v>
      </c>
      <c r="L53" s="238">
        <f t="shared" si="16"/>
        <v>162740</v>
      </c>
      <c r="M53" s="293">
        <f t="shared" si="17"/>
        <v>17248.888888888891</v>
      </c>
      <c r="N53" s="282"/>
      <c r="O53" s="298">
        <f t="shared" si="18"/>
        <v>1301920</v>
      </c>
      <c r="P53" s="238">
        <f t="shared" si="19"/>
        <v>16833.696379793804</v>
      </c>
      <c r="Q53" s="282"/>
      <c r="R53" s="238">
        <f>R49</f>
        <v>65026</v>
      </c>
    </row>
    <row r="54" spans="2:18">
      <c r="B54" s="357" t="s">
        <v>208</v>
      </c>
      <c r="C54" s="357">
        <v>13</v>
      </c>
      <c r="D54" s="215">
        <v>20</v>
      </c>
      <c r="E54" s="61">
        <f t="shared" si="20"/>
        <v>82400</v>
      </c>
      <c r="F54" s="238">
        <f t="shared" si="21"/>
        <v>1648000</v>
      </c>
      <c r="H54" s="238">
        <v>15000</v>
      </c>
      <c r="I54" s="282"/>
      <c r="J54" s="238">
        <f t="shared" si="14"/>
        <v>314600</v>
      </c>
      <c r="K54" s="238">
        <f t="shared" si="15"/>
        <v>8811.7647058823532</v>
      </c>
      <c r="L54" s="238">
        <f t="shared" si="16"/>
        <v>164800</v>
      </c>
      <c r="M54" s="293">
        <f t="shared" si="17"/>
        <v>17477.777777777777</v>
      </c>
      <c r="N54" s="282"/>
      <c r="O54" s="298">
        <f t="shared" si="18"/>
        <v>1318400</v>
      </c>
      <c r="P54" s="238">
        <f t="shared" si="19"/>
        <v>17045.924955628045</v>
      </c>
      <c r="Q54" s="282"/>
      <c r="R54" s="238">
        <v>65695</v>
      </c>
    </row>
    <row r="55" spans="2:18" hidden="1">
      <c r="B55" s="372" t="s">
        <v>208</v>
      </c>
      <c r="C55" s="372">
        <v>14</v>
      </c>
      <c r="D55" s="370">
        <v>20</v>
      </c>
      <c r="E55" s="371">
        <f t="shared" si="20"/>
        <v>81885</v>
      </c>
      <c r="F55" s="373">
        <f t="shared" si="21"/>
        <v>1637700</v>
      </c>
      <c r="G55" s="363"/>
      <c r="H55" s="373">
        <v>15000</v>
      </c>
      <c r="I55" s="363"/>
      <c r="J55" s="238">
        <f t="shared" si="14"/>
        <v>312540</v>
      </c>
      <c r="K55" s="238">
        <f t="shared" si="15"/>
        <v>8751.176470588236</v>
      </c>
      <c r="L55" s="238">
        <f t="shared" si="16"/>
        <v>163770</v>
      </c>
      <c r="M55" s="293">
        <f t="shared" si="17"/>
        <v>17363.333333333332</v>
      </c>
      <c r="N55" s="282"/>
      <c r="O55" s="298">
        <f t="shared" si="18"/>
        <v>1310160</v>
      </c>
      <c r="P55" s="238">
        <f t="shared" si="19"/>
        <v>16576.696778822035</v>
      </c>
      <c r="Q55" s="363"/>
      <c r="R55" s="373"/>
    </row>
    <row r="56" spans="2:18">
      <c r="B56" s="357" t="s">
        <v>208</v>
      </c>
      <c r="C56" s="357">
        <v>15</v>
      </c>
      <c r="D56" s="215">
        <v>20</v>
      </c>
      <c r="E56" s="61">
        <f t="shared" si="20"/>
        <v>80855</v>
      </c>
      <c r="F56" s="238">
        <f t="shared" si="21"/>
        <v>1617100</v>
      </c>
      <c r="H56" s="238">
        <v>15000</v>
      </c>
      <c r="I56" s="282"/>
      <c r="J56" s="238">
        <f t="shared" si="14"/>
        <v>308420</v>
      </c>
      <c r="K56" s="238">
        <f t="shared" si="15"/>
        <v>8630</v>
      </c>
      <c r="L56" s="238">
        <f t="shared" si="16"/>
        <v>161710</v>
      </c>
      <c r="M56" s="293">
        <f t="shared" si="17"/>
        <v>17134.444444444445</v>
      </c>
      <c r="N56" s="282"/>
      <c r="O56" s="298">
        <f t="shared" si="18"/>
        <v>1293680</v>
      </c>
      <c r="P56" s="238">
        <f t="shared" si="19"/>
        <v>16727.579314098908</v>
      </c>
      <c r="Q56" s="282"/>
      <c r="R56" s="238">
        <v>64691</v>
      </c>
    </row>
    <row r="57" spans="2:18">
      <c r="B57" s="357" t="s">
        <v>208</v>
      </c>
      <c r="C57" s="357">
        <v>16</v>
      </c>
      <c r="D57" s="215">
        <v>20</v>
      </c>
      <c r="E57" s="61">
        <f t="shared" si="20"/>
        <v>80855</v>
      </c>
      <c r="F57" s="238">
        <f t="shared" si="21"/>
        <v>1617100</v>
      </c>
      <c r="H57" s="238">
        <v>15000</v>
      </c>
      <c r="I57" s="282"/>
      <c r="J57" s="238">
        <f t="shared" si="14"/>
        <v>308420</v>
      </c>
      <c r="K57" s="238">
        <f t="shared" si="15"/>
        <v>8630</v>
      </c>
      <c r="L57" s="238">
        <f t="shared" si="16"/>
        <v>161710</v>
      </c>
      <c r="M57" s="293">
        <f t="shared" si="17"/>
        <v>17134.444444444445</v>
      </c>
      <c r="N57" s="282"/>
      <c r="O57" s="298">
        <f t="shared" si="18"/>
        <v>1293680</v>
      </c>
      <c r="P57" s="238">
        <f t="shared" si="19"/>
        <v>16727.579314098908</v>
      </c>
      <c r="Q57" s="282"/>
      <c r="R57" s="238">
        <v>64691</v>
      </c>
    </row>
    <row r="58" spans="2:18">
      <c r="B58" s="357" t="s">
        <v>208</v>
      </c>
      <c r="C58" s="357">
        <v>17</v>
      </c>
      <c r="D58" s="215">
        <v>20</v>
      </c>
      <c r="E58" s="61">
        <f t="shared" si="20"/>
        <v>80855</v>
      </c>
      <c r="F58" s="238">
        <f t="shared" si="21"/>
        <v>1617100</v>
      </c>
      <c r="H58" s="238">
        <v>15000</v>
      </c>
      <c r="I58" s="282"/>
      <c r="J58" s="238">
        <f t="shared" si="14"/>
        <v>308420</v>
      </c>
      <c r="K58" s="238">
        <f t="shared" si="15"/>
        <v>8630</v>
      </c>
      <c r="L58" s="238">
        <f t="shared" si="16"/>
        <v>161710</v>
      </c>
      <c r="M58" s="293">
        <f t="shared" si="17"/>
        <v>17134.444444444445</v>
      </c>
      <c r="N58" s="282"/>
      <c r="O58" s="298">
        <f t="shared" si="18"/>
        <v>1293680</v>
      </c>
      <c r="P58" s="238">
        <f t="shared" si="19"/>
        <v>16727.579314098908</v>
      </c>
      <c r="Q58" s="282"/>
      <c r="R58" s="238">
        <v>64691</v>
      </c>
    </row>
    <row r="59" spans="2:18">
      <c r="B59" s="357" t="s">
        <v>208</v>
      </c>
      <c r="C59" s="357">
        <v>18</v>
      </c>
      <c r="D59" s="215">
        <v>20</v>
      </c>
      <c r="E59" s="61">
        <f t="shared" si="20"/>
        <v>80855</v>
      </c>
      <c r="F59" s="238">
        <f t="shared" si="21"/>
        <v>1617100</v>
      </c>
      <c r="H59" s="238">
        <v>15000</v>
      </c>
      <c r="I59" s="282"/>
      <c r="J59" s="238">
        <f t="shared" si="14"/>
        <v>308420</v>
      </c>
      <c r="K59" s="238">
        <f t="shared" si="15"/>
        <v>8630</v>
      </c>
      <c r="L59" s="238">
        <f t="shared" si="16"/>
        <v>161710</v>
      </c>
      <c r="M59" s="293">
        <f t="shared" si="17"/>
        <v>17134.444444444445</v>
      </c>
      <c r="N59" s="282"/>
      <c r="O59" s="298">
        <f t="shared" si="18"/>
        <v>1293680</v>
      </c>
      <c r="P59" s="238">
        <f t="shared" si="19"/>
        <v>16727.579314098908</v>
      </c>
      <c r="Q59" s="282"/>
      <c r="R59" s="238">
        <v>64691</v>
      </c>
    </row>
    <row r="60" spans="2:18">
      <c r="B60" s="357" t="s">
        <v>208</v>
      </c>
      <c r="C60" s="357">
        <v>19</v>
      </c>
      <c r="D60" s="215">
        <v>20</v>
      </c>
      <c r="E60" s="61">
        <f t="shared" si="20"/>
        <v>80855</v>
      </c>
      <c r="F60" s="238">
        <f t="shared" si="21"/>
        <v>1617100</v>
      </c>
      <c r="H60" s="238">
        <v>15000</v>
      </c>
      <c r="I60" s="282"/>
      <c r="J60" s="238">
        <f t="shared" si="14"/>
        <v>308420</v>
      </c>
      <c r="K60" s="238">
        <f t="shared" si="15"/>
        <v>8630</v>
      </c>
      <c r="L60" s="238">
        <f t="shared" si="16"/>
        <v>161710</v>
      </c>
      <c r="M60" s="293">
        <f t="shared" si="17"/>
        <v>17134.444444444445</v>
      </c>
      <c r="N60" s="282"/>
      <c r="O60" s="298">
        <f t="shared" si="18"/>
        <v>1293680</v>
      </c>
      <c r="P60" s="238">
        <f t="shared" si="19"/>
        <v>16727.579314098908</v>
      </c>
      <c r="Q60" s="282"/>
      <c r="R60" s="238">
        <v>64691</v>
      </c>
    </row>
    <row r="61" spans="2:18">
      <c r="B61" s="357" t="s">
        <v>208</v>
      </c>
      <c r="C61" s="357">
        <v>20</v>
      </c>
      <c r="D61" s="215">
        <v>20</v>
      </c>
      <c r="E61" s="61">
        <f t="shared" si="20"/>
        <v>80855</v>
      </c>
      <c r="F61" s="238">
        <f t="shared" si="21"/>
        <v>1617100</v>
      </c>
      <c r="H61" s="238">
        <v>15000</v>
      </c>
      <c r="I61" s="282"/>
      <c r="J61" s="238">
        <f t="shared" si="14"/>
        <v>308420</v>
      </c>
      <c r="K61" s="238">
        <f t="shared" si="15"/>
        <v>8630</v>
      </c>
      <c r="L61" s="238">
        <f t="shared" si="16"/>
        <v>161710</v>
      </c>
      <c r="M61" s="293">
        <f t="shared" si="17"/>
        <v>17134.444444444445</v>
      </c>
      <c r="N61" s="282"/>
      <c r="O61" s="298">
        <f t="shared" si="18"/>
        <v>1293680</v>
      </c>
      <c r="P61" s="238">
        <f t="shared" si="19"/>
        <v>16727.579314098908</v>
      </c>
      <c r="Q61" s="282"/>
      <c r="R61" s="238">
        <v>64691</v>
      </c>
    </row>
    <row r="62" spans="2:18">
      <c r="B62" s="357" t="s">
        <v>208</v>
      </c>
      <c r="C62" s="357">
        <v>21</v>
      </c>
      <c r="D62" s="215">
        <v>20</v>
      </c>
      <c r="E62" s="61">
        <f t="shared" si="20"/>
        <v>80855</v>
      </c>
      <c r="F62" s="238">
        <f t="shared" si="21"/>
        <v>1617100</v>
      </c>
      <c r="H62" s="238">
        <v>15000</v>
      </c>
      <c r="I62" s="282"/>
      <c r="J62" s="238">
        <f t="shared" si="14"/>
        <v>308420</v>
      </c>
      <c r="K62" s="238">
        <f t="shared" si="15"/>
        <v>8630</v>
      </c>
      <c r="L62" s="238">
        <f t="shared" si="16"/>
        <v>161710</v>
      </c>
      <c r="M62" s="293">
        <f t="shared" si="17"/>
        <v>17134.444444444445</v>
      </c>
      <c r="N62" s="282"/>
      <c r="O62" s="298">
        <f t="shared" si="18"/>
        <v>1293680</v>
      </c>
      <c r="P62" s="238">
        <f t="shared" si="19"/>
        <v>16727.579314098908</v>
      </c>
      <c r="Q62" s="282"/>
      <c r="R62" s="238">
        <v>64691</v>
      </c>
    </row>
    <row r="63" spans="2:18">
      <c r="B63" s="357" t="s">
        <v>208</v>
      </c>
      <c r="C63" s="357">
        <v>22</v>
      </c>
      <c r="D63" s="215">
        <v>20</v>
      </c>
      <c r="E63" s="61">
        <f t="shared" si="20"/>
        <v>81885</v>
      </c>
      <c r="F63" s="238">
        <f t="shared" si="21"/>
        <v>1637700</v>
      </c>
      <c r="H63" s="238">
        <v>15000</v>
      </c>
      <c r="I63" s="282"/>
      <c r="J63" s="238">
        <f t="shared" si="14"/>
        <v>312540</v>
      </c>
      <c r="K63" s="238">
        <f t="shared" si="15"/>
        <v>8751.176470588236</v>
      </c>
      <c r="L63" s="238">
        <f t="shared" si="16"/>
        <v>163770</v>
      </c>
      <c r="M63" s="293">
        <f t="shared" si="17"/>
        <v>17363.333333333332</v>
      </c>
      <c r="N63" s="282"/>
      <c r="O63" s="298">
        <f t="shared" si="18"/>
        <v>1310160</v>
      </c>
      <c r="P63" s="238">
        <f t="shared" si="19"/>
        <v>16939.807889933145</v>
      </c>
      <c r="Q63" s="282"/>
      <c r="R63" s="238">
        <v>65360</v>
      </c>
    </row>
    <row r="64" spans="2:18">
      <c r="B64" s="357" t="s">
        <v>208</v>
      </c>
      <c r="C64" s="357">
        <v>23</v>
      </c>
      <c r="D64" s="215">
        <v>20</v>
      </c>
      <c r="E64" s="61">
        <f t="shared" si="20"/>
        <v>81885</v>
      </c>
      <c r="F64" s="238">
        <f t="shared" si="21"/>
        <v>1637700</v>
      </c>
      <c r="H64" s="238">
        <v>15000</v>
      </c>
      <c r="I64" s="282"/>
      <c r="J64" s="238">
        <f t="shared" si="14"/>
        <v>312540</v>
      </c>
      <c r="K64" s="238">
        <f t="shared" si="15"/>
        <v>8751.176470588236</v>
      </c>
      <c r="L64" s="238">
        <f t="shared" si="16"/>
        <v>163770</v>
      </c>
      <c r="M64" s="293">
        <f t="shared" si="17"/>
        <v>17363.333333333332</v>
      </c>
      <c r="N64" s="282"/>
      <c r="O64" s="298">
        <f t="shared" si="18"/>
        <v>1310160</v>
      </c>
      <c r="P64" s="238">
        <f t="shared" si="19"/>
        <v>16939.807889933145</v>
      </c>
      <c r="Q64" s="282"/>
      <c r="R64" s="238">
        <f>R63</f>
        <v>65360</v>
      </c>
    </row>
    <row r="65" spans="2:18">
      <c r="B65" s="357" t="s">
        <v>208</v>
      </c>
      <c r="C65" s="357">
        <v>24</v>
      </c>
      <c r="D65" s="215">
        <v>20</v>
      </c>
      <c r="E65" s="61">
        <f t="shared" si="20"/>
        <v>81370</v>
      </c>
      <c r="F65" s="238">
        <f t="shared" si="21"/>
        <v>1627400</v>
      </c>
      <c r="H65" s="238">
        <v>15000</v>
      </c>
      <c r="I65" s="282"/>
      <c r="J65" s="238">
        <f t="shared" si="14"/>
        <v>310480</v>
      </c>
      <c r="K65" s="238">
        <f t="shared" si="15"/>
        <v>8690.5882352941171</v>
      </c>
      <c r="L65" s="238">
        <f t="shared" si="16"/>
        <v>162740</v>
      </c>
      <c r="M65" s="293">
        <f t="shared" si="17"/>
        <v>17248.888888888891</v>
      </c>
      <c r="N65" s="282"/>
      <c r="O65" s="298">
        <f t="shared" si="18"/>
        <v>1301920</v>
      </c>
      <c r="P65" s="238">
        <f t="shared" si="19"/>
        <v>16833.696379793804</v>
      </c>
      <c r="Q65" s="282"/>
      <c r="R65" s="238">
        <v>65026</v>
      </c>
    </row>
    <row r="66" spans="2:18">
      <c r="B66" s="357" t="s">
        <v>208</v>
      </c>
      <c r="C66" s="357">
        <v>25</v>
      </c>
      <c r="D66" s="215">
        <v>20</v>
      </c>
      <c r="E66" s="61">
        <f t="shared" si="20"/>
        <v>81370</v>
      </c>
      <c r="F66" s="238">
        <f t="shared" si="21"/>
        <v>1627400</v>
      </c>
      <c r="H66" s="238">
        <v>15000</v>
      </c>
      <c r="I66" s="282"/>
      <c r="J66" s="238">
        <f t="shared" si="14"/>
        <v>310480</v>
      </c>
      <c r="K66" s="238">
        <f t="shared" si="15"/>
        <v>8690.5882352941171</v>
      </c>
      <c r="L66" s="238">
        <f t="shared" si="16"/>
        <v>162740</v>
      </c>
      <c r="M66" s="293">
        <f t="shared" si="17"/>
        <v>17248.888888888891</v>
      </c>
      <c r="N66" s="282"/>
      <c r="O66" s="298">
        <f t="shared" si="18"/>
        <v>1301920</v>
      </c>
      <c r="P66" s="238">
        <f t="shared" si="19"/>
        <v>16833.696379793804</v>
      </c>
      <c r="Q66" s="282"/>
      <c r="R66" s="238">
        <v>65026</v>
      </c>
    </row>
    <row r="67" spans="2:18">
      <c r="B67" s="357" t="s">
        <v>208</v>
      </c>
      <c r="C67" s="357">
        <v>26</v>
      </c>
      <c r="D67" s="215">
        <v>20</v>
      </c>
      <c r="E67" s="61">
        <f t="shared" si="20"/>
        <v>80855</v>
      </c>
      <c r="F67" s="238">
        <f t="shared" si="21"/>
        <v>1617100</v>
      </c>
      <c r="H67" s="238">
        <v>15000</v>
      </c>
      <c r="I67" s="282"/>
      <c r="J67" s="238">
        <f t="shared" si="14"/>
        <v>308420</v>
      </c>
      <c r="K67" s="238">
        <f t="shared" si="15"/>
        <v>8630</v>
      </c>
      <c r="L67" s="238">
        <f t="shared" si="16"/>
        <v>161710</v>
      </c>
      <c r="M67" s="293">
        <f t="shared" si="17"/>
        <v>17134.444444444445</v>
      </c>
      <c r="N67" s="282"/>
      <c r="O67" s="298">
        <f t="shared" si="18"/>
        <v>1293680</v>
      </c>
      <c r="P67" s="238">
        <f t="shared" si="19"/>
        <v>16727.579314098908</v>
      </c>
      <c r="Q67" s="282"/>
      <c r="R67" s="238">
        <v>64691</v>
      </c>
    </row>
    <row r="68" spans="2:18">
      <c r="B68" s="357" t="s">
        <v>208</v>
      </c>
      <c r="C68" s="357">
        <v>27</v>
      </c>
      <c r="D68" s="215">
        <v>20</v>
      </c>
      <c r="E68" s="61">
        <f t="shared" si="20"/>
        <v>80855</v>
      </c>
      <c r="F68" s="238">
        <f t="shared" si="21"/>
        <v>1617100</v>
      </c>
      <c r="H68" s="238">
        <v>15000</v>
      </c>
      <c r="I68" s="282"/>
      <c r="J68" s="238">
        <f t="shared" si="14"/>
        <v>308420</v>
      </c>
      <c r="K68" s="238">
        <f t="shared" si="15"/>
        <v>8630</v>
      </c>
      <c r="L68" s="238">
        <f t="shared" si="16"/>
        <v>161710</v>
      </c>
      <c r="M68" s="293">
        <f t="shared" si="17"/>
        <v>17134.444444444445</v>
      </c>
      <c r="N68" s="282"/>
      <c r="O68" s="298">
        <f t="shared" si="18"/>
        <v>1293680</v>
      </c>
      <c r="P68" s="238">
        <f t="shared" si="19"/>
        <v>16727.579314098908</v>
      </c>
      <c r="Q68" s="282"/>
      <c r="R68" s="238">
        <v>64691</v>
      </c>
    </row>
    <row r="69" spans="2:18">
      <c r="B69" s="357" t="s">
        <v>208</v>
      </c>
      <c r="C69" s="357">
        <v>28</v>
      </c>
      <c r="D69" s="215">
        <v>20</v>
      </c>
      <c r="E69" s="61">
        <f t="shared" si="20"/>
        <v>81370</v>
      </c>
      <c r="F69" s="238">
        <f t="shared" si="21"/>
        <v>1627400</v>
      </c>
      <c r="H69" s="238">
        <v>15000</v>
      </c>
      <c r="I69" s="282"/>
      <c r="J69" s="238">
        <f t="shared" si="14"/>
        <v>310480</v>
      </c>
      <c r="K69" s="238">
        <f t="shared" si="15"/>
        <v>8690.5882352941171</v>
      </c>
      <c r="L69" s="238">
        <f t="shared" si="16"/>
        <v>162740</v>
      </c>
      <c r="M69" s="293">
        <f t="shared" si="17"/>
        <v>17248.888888888891</v>
      </c>
      <c r="N69" s="282"/>
      <c r="O69" s="298">
        <f t="shared" si="18"/>
        <v>1301920</v>
      </c>
      <c r="P69" s="238">
        <f t="shared" si="19"/>
        <v>16833.696379793804</v>
      </c>
      <c r="Q69" s="282"/>
      <c r="R69" s="238">
        <f>R65</f>
        <v>65026</v>
      </c>
    </row>
    <row r="70" spans="2:18">
      <c r="B70" s="357" t="s">
        <v>208</v>
      </c>
      <c r="C70" s="357">
        <v>29</v>
      </c>
      <c r="D70" s="215">
        <v>20</v>
      </c>
      <c r="E70" s="61">
        <f t="shared" si="20"/>
        <v>81370</v>
      </c>
      <c r="F70" s="238">
        <f t="shared" si="21"/>
        <v>1627400</v>
      </c>
      <c r="H70" s="238">
        <v>15000</v>
      </c>
      <c r="I70" s="282"/>
      <c r="J70" s="238">
        <f t="shared" si="14"/>
        <v>310480</v>
      </c>
      <c r="K70" s="238">
        <f t="shared" si="15"/>
        <v>8690.5882352941171</v>
      </c>
      <c r="L70" s="238">
        <f t="shared" si="16"/>
        <v>162740</v>
      </c>
      <c r="M70" s="293">
        <f t="shared" si="17"/>
        <v>17248.888888888891</v>
      </c>
      <c r="N70" s="282"/>
      <c r="O70" s="298">
        <f t="shared" si="18"/>
        <v>1301920</v>
      </c>
      <c r="P70" s="238">
        <f t="shared" si="19"/>
        <v>16833.696379793804</v>
      </c>
      <c r="Q70" s="282"/>
      <c r="R70" s="238">
        <f>R69</f>
        <v>65026</v>
      </c>
    </row>
    <row r="71" spans="2:18">
      <c r="B71" s="357" t="s">
        <v>208</v>
      </c>
      <c r="C71" s="357">
        <v>30</v>
      </c>
      <c r="D71" s="215">
        <v>20</v>
      </c>
      <c r="E71" s="61">
        <f t="shared" si="20"/>
        <v>81885</v>
      </c>
      <c r="F71" s="238">
        <f t="shared" si="21"/>
        <v>1637700</v>
      </c>
      <c r="H71" s="238">
        <v>15000</v>
      </c>
      <c r="I71" s="282"/>
      <c r="J71" s="238">
        <f t="shared" si="14"/>
        <v>312540</v>
      </c>
      <c r="K71" s="238">
        <f t="shared" si="15"/>
        <v>8751.176470588236</v>
      </c>
      <c r="L71" s="238">
        <f t="shared" si="16"/>
        <v>163770</v>
      </c>
      <c r="M71" s="293">
        <f t="shared" si="17"/>
        <v>17363.333333333332</v>
      </c>
      <c r="N71" s="282"/>
      <c r="O71" s="298">
        <f t="shared" si="18"/>
        <v>1310160</v>
      </c>
      <c r="P71" s="238">
        <f t="shared" si="19"/>
        <v>16939.807889933145</v>
      </c>
      <c r="Q71" s="282"/>
      <c r="R71" s="238">
        <f>R63</f>
        <v>65360</v>
      </c>
    </row>
    <row r="72" spans="2:18">
      <c r="B72" s="357"/>
      <c r="C72" s="357"/>
      <c r="D72" s="215"/>
      <c r="E72" s="61"/>
      <c r="F72" s="238">
        <f t="shared" si="21"/>
        <v>0</v>
      </c>
      <c r="H72" s="238"/>
      <c r="I72" s="282"/>
      <c r="J72" s="238">
        <f t="shared" si="14"/>
        <v>0</v>
      </c>
      <c r="K72" s="238">
        <f t="shared" si="15"/>
        <v>0</v>
      </c>
      <c r="L72" s="238">
        <f t="shared" si="16"/>
        <v>0</v>
      </c>
      <c r="M72" s="293">
        <f t="shared" si="17"/>
        <v>0</v>
      </c>
      <c r="N72" s="282"/>
      <c r="O72" s="298">
        <f t="shared" si="18"/>
        <v>0</v>
      </c>
      <c r="P72" s="238">
        <f t="shared" si="19"/>
        <v>0</v>
      </c>
      <c r="Q72" s="282"/>
      <c r="R72" s="238"/>
    </row>
    <row r="73" spans="2:18" hidden="1">
      <c r="B73" s="372" t="s">
        <v>207</v>
      </c>
      <c r="C73" s="372">
        <v>1</v>
      </c>
      <c r="D73" s="215">
        <v>20</v>
      </c>
      <c r="E73" s="282">
        <f t="shared" ref="E73:E103" si="22">E42*1.03</f>
        <v>84872</v>
      </c>
      <c r="F73" s="238">
        <f t="shared" si="21"/>
        <v>1697440</v>
      </c>
      <c r="H73" s="238">
        <v>15000</v>
      </c>
      <c r="I73" s="282"/>
      <c r="J73" s="238">
        <f t="shared" si="14"/>
        <v>324488</v>
      </c>
      <c r="K73" s="238">
        <f t="shared" si="15"/>
        <v>9102.5882352941171</v>
      </c>
      <c r="L73" s="238">
        <f t="shared" si="16"/>
        <v>169744</v>
      </c>
      <c r="M73" s="293">
        <f t="shared" si="17"/>
        <v>18027.111111111109</v>
      </c>
      <c r="N73" s="282"/>
      <c r="O73" s="298">
        <f t="shared" si="18"/>
        <v>1357952</v>
      </c>
      <c r="P73" s="238">
        <f t="shared" si="19"/>
        <v>17181.381315407998</v>
      </c>
      <c r="Q73" s="282"/>
      <c r="R73" s="238"/>
    </row>
    <row r="74" spans="2:18">
      <c r="B74" s="357" t="s">
        <v>207</v>
      </c>
      <c r="C74" s="357">
        <v>2</v>
      </c>
      <c r="D74" s="215">
        <v>20</v>
      </c>
      <c r="E74" s="282">
        <f t="shared" si="22"/>
        <v>83811.100000000006</v>
      </c>
      <c r="F74" s="238">
        <f t="shared" si="21"/>
        <v>1676222</v>
      </c>
      <c r="H74" s="238">
        <v>15000</v>
      </c>
      <c r="I74" s="282"/>
      <c r="J74" s="238">
        <f t="shared" si="14"/>
        <v>320244.40000000002</v>
      </c>
      <c r="K74" s="238">
        <f t="shared" si="15"/>
        <v>8977.7764705882364</v>
      </c>
      <c r="L74" s="238">
        <f t="shared" si="16"/>
        <v>167622.20000000001</v>
      </c>
      <c r="M74" s="293">
        <f t="shared" si="17"/>
        <v>17791.355555555558</v>
      </c>
      <c r="N74" s="282"/>
      <c r="O74" s="298">
        <f t="shared" si="18"/>
        <v>1340977.6000000001</v>
      </c>
      <c r="P74" s="238">
        <f t="shared" si="19"/>
        <v>17336.680715632065</v>
      </c>
      <c r="Q74" s="282"/>
      <c r="R74" s="238">
        <v>66612</v>
      </c>
    </row>
    <row r="75" spans="2:18">
      <c r="B75" s="357" t="s">
        <v>207</v>
      </c>
      <c r="C75" s="357">
        <v>3</v>
      </c>
      <c r="D75" s="215">
        <v>20</v>
      </c>
      <c r="E75" s="282">
        <f t="shared" si="22"/>
        <v>83811.100000000006</v>
      </c>
      <c r="F75" s="238">
        <f t="shared" ref="F75:F106" si="23">D75*E75</f>
        <v>1676222</v>
      </c>
      <c r="H75" s="238">
        <v>15000</v>
      </c>
      <c r="I75" s="282"/>
      <c r="J75" s="238">
        <f t="shared" si="14"/>
        <v>320244.40000000002</v>
      </c>
      <c r="K75" s="238">
        <f t="shared" si="15"/>
        <v>8977.7764705882364</v>
      </c>
      <c r="L75" s="238">
        <f t="shared" si="16"/>
        <v>167622.20000000001</v>
      </c>
      <c r="M75" s="293">
        <f t="shared" si="17"/>
        <v>17791.355555555558</v>
      </c>
      <c r="N75" s="282"/>
      <c r="O75" s="298">
        <f t="shared" si="18"/>
        <v>1340977.6000000001</v>
      </c>
      <c r="P75" s="238">
        <f t="shared" si="19"/>
        <v>17336.680715632065</v>
      </c>
      <c r="Q75" s="282"/>
      <c r="R75" s="238">
        <v>66612</v>
      </c>
    </row>
    <row r="76" spans="2:18">
      <c r="B76" s="357" t="s">
        <v>207</v>
      </c>
      <c r="C76" s="357">
        <v>4</v>
      </c>
      <c r="D76" s="215">
        <v>20</v>
      </c>
      <c r="E76" s="282">
        <f t="shared" si="22"/>
        <v>83811.100000000006</v>
      </c>
      <c r="F76" s="238">
        <f t="shared" si="23"/>
        <v>1676222</v>
      </c>
      <c r="H76" s="238">
        <v>15000</v>
      </c>
      <c r="I76" s="282"/>
      <c r="J76" s="238">
        <f t="shared" si="14"/>
        <v>320244.40000000002</v>
      </c>
      <c r="K76" s="238">
        <f t="shared" si="15"/>
        <v>8977.7764705882364</v>
      </c>
      <c r="L76" s="238">
        <f t="shared" si="16"/>
        <v>167622.20000000001</v>
      </c>
      <c r="M76" s="293">
        <f t="shared" si="17"/>
        <v>17791.355555555558</v>
      </c>
      <c r="N76" s="282"/>
      <c r="O76" s="298">
        <f t="shared" si="18"/>
        <v>1340977.6000000001</v>
      </c>
      <c r="P76" s="238">
        <f t="shared" si="19"/>
        <v>17336.680715632065</v>
      </c>
      <c r="Q76" s="282"/>
      <c r="R76" s="238">
        <v>66612</v>
      </c>
    </row>
    <row r="77" spans="2:18" hidden="1">
      <c r="B77" s="372" t="s">
        <v>207</v>
      </c>
      <c r="C77" s="372">
        <v>5</v>
      </c>
      <c r="D77" s="215">
        <v>20</v>
      </c>
      <c r="E77" s="282">
        <f t="shared" si="22"/>
        <v>84872</v>
      </c>
      <c r="F77" s="238">
        <f t="shared" si="23"/>
        <v>1697440</v>
      </c>
      <c r="H77" s="238">
        <v>15000</v>
      </c>
      <c r="I77" s="282"/>
      <c r="J77" s="238">
        <f t="shared" si="14"/>
        <v>324488</v>
      </c>
      <c r="K77" s="238">
        <f t="shared" si="15"/>
        <v>9102.5882352941171</v>
      </c>
      <c r="L77" s="238">
        <f t="shared" si="16"/>
        <v>169744</v>
      </c>
      <c r="M77" s="293">
        <f t="shared" si="17"/>
        <v>18027.111111111109</v>
      </c>
      <c r="N77" s="282"/>
      <c r="O77" s="298">
        <f t="shared" si="18"/>
        <v>1357952</v>
      </c>
      <c r="P77" s="238">
        <f t="shared" si="19"/>
        <v>17181.381315407998</v>
      </c>
      <c r="Q77" s="282"/>
      <c r="R77" s="238"/>
    </row>
    <row r="78" spans="2:18">
      <c r="B78" s="357" t="s">
        <v>207</v>
      </c>
      <c r="C78" s="357">
        <v>6</v>
      </c>
      <c r="D78" s="215">
        <v>20</v>
      </c>
      <c r="E78" s="282">
        <f t="shared" si="22"/>
        <v>84872</v>
      </c>
      <c r="F78" s="238">
        <f t="shared" si="23"/>
        <v>1697440</v>
      </c>
      <c r="H78" s="238">
        <v>15000</v>
      </c>
      <c r="I78" s="282"/>
      <c r="J78" s="238">
        <f t="shared" si="14"/>
        <v>324488</v>
      </c>
      <c r="K78" s="238">
        <f t="shared" si="15"/>
        <v>9102.5882352941171</v>
      </c>
      <c r="L78" s="238">
        <f t="shared" si="16"/>
        <v>169744</v>
      </c>
      <c r="M78" s="293">
        <f t="shared" si="17"/>
        <v>18027.111111111109</v>
      </c>
      <c r="N78" s="282"/>
      <c r="O78" s="298">
        <f t="shared" si="18"/>
        <v>1357952</v>
      </c>
      <c r="P78" s="238">
        <f t="shared" si="19"/>
        <v>17555.281315408</v>
      </c>
      <c r="Q78" s="282"/>
      <c r="R78" s="238">
        <v>67302</v>
      </c>
    </row>
    <row r="79" spans="2:18">
      <c r="B79" s="357" t="s">
        <v>207</v>
      </c>
      <c r="C79" s="357">
        <v>7</v>
      </c>
      <c r="D79" s="215">
        <v>20</v>
      </c>
      <c r="E79" s="282">
        <f t="shared" si="22"/>
        <v>83811.100000000006</v>
      </c>
      <c r="F79" s="238">
        <f t="shared" si="23"/>
        <v>1676222</v>
      </c>
      <c r="H79" s="238">
        <v>15000</v>
      </c>
      <c r="I79" s="282"/>
      <c r="J79" s="238">
        <f t="shared" si="14"/>
        <v>320244.40000000002</v>
      </c>
      <c r="K79" s="238">
        <f t="shared" si="15"/>
        <v>8977.7764705882364</v>
      </c>
      <c r="L79" s="238">
        <f t="shared" si="16"/>
        <v>167622.20000000001</v>
      </c>
      <c r="M79" s="293">
        <f t="shared" si="17"/>
        <v>17791.355555555558</v>
      </c>
      <c r="N79" s="282"/>
      <c r="O79" s="298">
        <f t="shared" si="18"/>
        <v>1340977.6000000001</v>
      </c>
      <c r="P79" s="238">
        <f t="shared" si="19"/>
        <v>17336.680715632065</v>
      </c>
      <c r="Q79" s="282"/>
      <c r="R79" s="238">
        <f>R76</f>
        <v>66612</v>
      </c>
    </row>
    <row r="80" spans="2:18">
      <c r="B80" s="357" t="s">
        <v>207</v>
      </c>
      <c r="C80" s="357">
        <v>8</v>
      </c>
      <c r="D80" s="215">
        <v>20</v>
      </c>
      <c r="E80" s="282">
        <f t="shared" si="22"/>
        <v>83811.100000000006</v>
      </c>
      <c r="F80" s="238">
        <f t="shared" si="23"/>
        <v>1676222</v>
      </c>
      <c r="H80" s="238">
        <v>15000</v>
      </c>
      <c r="I80" s="282"/>
      <c r="J80" s="238">
        <f t="shared" si="14"/>
        <v>320244.40000000002</v>
      </c>
      <c r="K80" s="238">
        <f t="shared" si="15"/>
        <v>8977.7764705882364</v>
      </c>
      <c r="L80" s="238">
        <f t="shared" si="16"/>
        <v>167622.20000000001</v>
      </c>
      <c r="M80" s="293">
        <f t="shared" si="17"/>
        <v>17791.355555555558</v>
      </c>
      <c r="N80" s="282"/>
      <c r="O80" s="298">
        <f t="shared" si="18"/>
        <v>1340977.6000000001</v>
      </c>
      <c r="P80" s="238">
        <f t="shared" si="19"/>
        <v>17336.680715632065</v>
      </c>
      <c r="Q80" s="282"/>
      <c r="R80" s="238">
        <f>R76</f>
        <v>66612</v>
      </c>
    </row>
    <row r="81" spans="2:18">
      <c r="B81" s="357" t="s">
        <v>207</v>
      </c>
      <c r="C81" s="357">
        <v>9</v>
      </c>
      <c r="D81" s="215">
        <v>20</v>
      </c>
      <c r="E81" s="282">
        <f t="shared" si="22"/>
        <v>84341.55</v>
      </c>
      <c r="F81" s="238">
        <f t="shared" si="23"/>
        <v>1686831</v>
      </c>
      <c r="H81" s="238">
        <v>15000</v>
      </c>
      <c r="I81" s="282"/>
      <c r="J81" s="238">
        <f t="shared" si="14"/>
        <v>322366.2</v>
      </c>
      <c r="K81" s="238">
        <f t="shared" si="15"/>
        <v>9040.1823529411777</v>
      </c>
      <c r="L81" s="238">
        <f t="shared" si="16"/>
        <v>168683.1</v>
      </c>
      <c r="M81" s="293">
        <f t="shared" si="17"/>
        <v>17909.233333333334</v>
      </c>
      <c r="N81" s="282"/>
      <c r="O81" s="298">
        <f t="shared" si="18"/>
        <v>1349464.8</v>
      </c>
      <c r="P81" s="238">
        <f t="shared" si="19"/>
        <v>17445.981015520032</v>
      </c>
      <c r="Q81" s="282"/>
      <c r="R81" s="238">
        <v>66957</v>
      </c>
    </row>
    <row r="82" spans="2:18">
      <c r="B82" s="357" t="s">
        <v>207</v>
      </c>
      <c r="C82" s="357">
        <v>10</v>
      </c>
      <c r="D82" s="215">
        <v>20</v>
      </c>
      <c r="E82" s="282">
        <f t="shared" si="22"/>
        <v>84341.55</v>
      </c>
      <c r="F82" s="238">
        <f t="shared" si="23"/>
        <v>1686831</v>
      </c>
      <c r="H82" s="238">
        <v>15000</v>
      </c>
      <c r="I82" s="282"/>
      <c r="J82" s="238">
        <f t="shared" si="14"/>
        <v>322366.2</v>
      </c>
      <c r="K82" s="238">
        <f t="shared" si="15"/>
        <v>9040.1823529411777</v>
      </c>
      <c r="L82" s="238">
        <f t="shared" si="16"/>
        <v>168683.1</v>
      </c>
      <c r="M82" s="293">
        <f t="shared" si="17"/>
        <v>17909.233333333334</v>
      </c>
      <c r="N82" s="282"/>
      <c r="O82" s="298">
        <f t="shared" si="18"/>
        <v>1349464.8</v>
      </c>
      <c r="P82" s="238">
        <f t="shared" si="19"/>
        <v>17445.981015520032</v>
      </c>
      <c r="Q82" s="282"/>
      <c r="R82" s="238">
        <v>66957</v>
      </c>
    </row>
    <row r="83" spans="2:18">
      <c r="B83" s="357" t="s">
        <v>207</v>
      </c>
      <c r="C83" s="357">
        <v>11</v>
      </c>
      <c r="D83" s="215">
        <v>20</v>
      </c>
      <c r="E83" s="282">
        <f t="shared" si="22"/>
        <v>83811.100000000006</v>
      </c>
      <c r="F83" s="238">
        <f t="shared" si="23"/>
        <v>1676222</v>
      </c>
      <c r="H83" s="238">
        <v>15000</v>
      </c>
      <c r="I83" s="282"/>
      <c r="J83" s="238">
        <f t="shared" si="14"/>
        <v>320244.40000000002</v>
      </c>
      <c r="K83" s="238">
        <f t="shared" si="15"/>
        <v>8977.7764705882364</v>
      </c>
      <c r="L83" s="238">
        <f t="shared" si="16"/>
        <v>167622.20000000001</v>
      </c>
      <c r="M83" s="293">
        <f t="shared" si="17"/>
        <v>17791.355555555558</v>
      </c>
      <c r="N83" s="282"/>
      <c r="O83" s="298">
        <f t="shared" si="18"/>
        <v>1340977.6000000001</v>
      </c>
      <c r="P83" s="238">
        <f t="shared" si="19"/>
        <v>17336.680715632065</v>
      </c>
      <c r="Q83" s="282"/>
      <c r="R83" s="238">
        <f>R74</f>
        <v>66612</v>
      </c>
    </row>
    <row r="84" spans="2:18">
      <c r="B84" s="357" t="s">
        <v>207</v>
      </c>
      <c r="C84" s="357">
        <v>12</v>
      </c>
      <c r="D84" s="215">
        <v>20</v>
      </c>
      <c r="E84" s="282">
        <f t="shared" si="22"/>
        <v>83811.100000000006</v>
      </c>
      <c r="F84" s="238">
        <f t="shared" si="23"/>
        <v>1676222</v>
      </c>
      <c r="H84" s="238">
        <v>15000</v>
      </c>
      <c r="I84" s="282"/>
      <c r="J84" s="238">
        <f t="shared" si="14"/>
        <v>320244.40000000002</v>
      </c>
      <c r="K84" s="238">
        <f t="shared" si="15"/>
        <v>8977.7764705882364</v>
      </c>
      <c r="L84" s="238">
        <f t="shared" si="16"/>
        <v>167622.20000000001</v>
      </c>
      <c r="M84" s="293">
        <f t="shared" si="17"/>
        <v>17791.355555555558</v>
      </c>
      <c r="N84" s="282"/>
      <c r="O84" s="298">
        <f t="shared" si="18"/>
        <v>1340977.6000000001</v>
      </c>
      <c r="P84" s="238">
        <f t="shared" si="19"/>
        <v>17336.680715632065</v>
      </c>
      <c r="Q84" s="282"/>
      <c r="R84" s="238">
        <f>R83</f>
        <v>66612</v>
      </c>
    </row>
    <row r="85" spans="2:18">
      <c r="B85" s="357" t="s">
        <v>207</v>
      </c>
      <c r="C85" s="357">
        <v>13</v>
      </c>
      <c r="D85" s="215">
        <v>20</v>
      </c>
      <c r="E85" s="282">
        <f t="shared" si="22"/>
        <v>84872</v>
      </c>
      <c r="F85" s="238">
        <f t="shared" si="23"/>
        <v>1697440</v>
      </c>
      <c r="H85" s="238">
        <v>15000</v>
      </c>
      <c r="I85" s="282"/>
      <c r="J85" s="238">
        <f t="shared" si="14"/>
        <v>324488</v>
      </c>
      <c r="K85" s="238">
        <f t="shared" si="15"/>
        <v>9102.5882352941171</v>
      </c>
      <c r="L85" s="238">
        <f t="shared" si="16"/>
        <v>169744</v>
      </c>
      <c r="M85" s="293">
        <f t="shared" si="17"/>
        <v>18027.111111111109</v>
      </c>
      <c r="N85" s="282"/>
      <c r="O85" s="298">
        <f t="shared" si="18"/>
        <v>1357952</v>
      </c>
      <c r="P85" s="238">
        <f t="shared" si="19"/>
        <v>17555.281315408</v>
      </c>
      <c r="Q85" s="282"/>
      <c r="R85" s="238">
        <v>67302</v>
      </c>
    </row>
    <row r="86" spans="2:18">
      <c r="B86" s="357" t="s">
        <v>207</v>
      </c>
      <c r="C86" s="357">
        <v>14</v>
      </c>
      <c r="D86" s="215">
        <v>20</v>
      </c>
      <c r="E86" s="282">
        <f t="shared" si="22"/>
        <v>84341.55</v>
      </c>
      <c r="F86" s="238">
        <f t="shared" si="23"/>
        <v>1686831</v>
      </c>
      <c r="H86" s="238">
        <v>15000</v>
      </c>
      <c r="I86" s="282"/>
      <c r="J86" s="238">
        <f t="shared" si="14"/>
        <v>322366.2</v>
      </c>
      <c r="K86" s="238">
        <f t="shared" si="15"/>
        <v>9040.1823529411777</v>
      </c>
      <c r="L86" s="238">
        <f t="shared" si="16"/>
        <v>168683.1</v>
      </c>
      <c r="M86" s="293">
        <f t="shared" si="17"/>
        <v>17909.233333333334</v>
      </c>
      <c r="N86" s="282"/>
      <c r="O86" s="298">
        <f t="shared" si="18"/>
        <v>1349464.8</v>
      </c>
      <c r="P86" s="238">
        <f t="shared" si="19"/>
        <v>17445.981015520032</v>
      </c>
      <c r="Q86" s="282"/>
      <c r="R86" s="238">
        <v>66957</v>
      </c>
    </row>
    <row r="87" spans="2:18">
      <c r="B87" s="357" t="s">
        <v>207</v>
      </c>
      <c r="C87" s="357">
        <v>15</v>
      </c>
      <c r="D87" s="215">
        <v>20</v>
      </c>
      <c r="E87" s="282">
        <f t="shared" si="22"/>
        <v>83280.650000000009</v>
      </c>
      <c r="F87" s="238">
        <f t="shared" si="23"/>
        <v>1665613.0000000002</v>
      </c>
      <c r="H87" s="238">
        <v>15000</v>
      </c>
      <c r="I87" s="282"/>
      <c r="J87" s="238">
        <f t="shared" si="14"/>
        <v>318122.60000000009</v>
      </c>
      <c r="K87" s="238">
        <f t="shared" si="15"/>
        <v>8915.370588235297</v>
      </c>
      <c r="L87" s="238">
        <f t="shared" si="16"/>
        <v>166561.30000000005</v>
      </c>
      <c r="M87" s="293">
        <f t="shared" si="17"/>
        <v>17673.477777777782</v>
      </c>
      <c r="N87" s="282"/>
      <c r="O87" s="298">
        <f t="shared" si="18"/>
        <v>1332490.4000000004</v>
      </c>
      <c r="P87" s="238">
        <f t="shared" si="19"/>
        <v>17227.380415744101</v>
      </c>
      <c r="Q87" s="282"/>
      <c r="R87" s="238">
        <v>66267</v>
      </c>
    </row>
    <row r="88" spans="2:18">
      <c r="B88" s="357" t="s">
        <v>207</v>
      </c>
      <c r="C88" s="357">
        <v>16</v>
      </c>
      <c r="D88" s="215">
        <v>20</v>
      </c>
      <c r="E88" s="282">
        <f t="shared" si="22"/>
        <v>83280.650000000009</v>
      </c>
      <c r="F88" s="238">
        <f t="shared" si="23"/>
        <v>1665613.0000000002</v>
      </c>
      <c r="H88" s="238">
        <v>15000</v>
      </c>
      <c r="I88" s="282"/>
      <c r="J88" s="238">
        <f t="shared" si="14"/>
        <v>318122.60000000009</v>
      </c>
      <c r="K88" s="238">
        <f t="shared" si="15"/>
        <v>8915.370588235297</v>
      </c>
      <c r="L88" s="238">
        <f t="shared" si="16"/>
        <v>166561.30000000005</v>
      </c>
      <c r="M88" s="293">
        <f t="shared" si="17"/>
        <v>17673.477777777782</v>
      </c>
      <c r="N88" s="282"/>
      <c r="O88" s="298">
        <f t="shared" si="18"/>
        <v>1332490.4000000004</v>
      </c>
      <c r="P88" s="238">
        <f t="shared" si="19"/>
        <v>17227.380415744101</v>
      </c>
      <c r="Q88" s="282"/>
      <c r="R88" s="238">
        <v>66267</v>
      </c>
    </row>
    <row r="89" spans="2:18">
      <c r="B89" s="357" t="s">
        <v>207</v>
      </c>
      <c r="C89" s="357">
        <v>17</v>
      </c>
      <c r="D89" s="215">
        <v>20</v>
      </c>
      <c r="E89" s="282">
        <f t="shared" si="22"/>
        <v>83280.650000000009</v>
      </c>
      <c r="F89" s="238">
        <f t="shared" si="23"/>
        <v>1665613.0000000002</v>
      </c>
      <c r="H89" s="238">
        <v>15000</v>
      </c>
      <c r="I89" s="282"/>
      <c r="J89" s="238">
        <f t="shared" si="14"/>
        <v>318122.60000000009</v>
      </c>
      <c r="K89" s="238">
        <f t="shared" si="15"/>
        <v>8915.370588235297</v>
      </c>
      <c r="L89" s="238">
        <f t="shared" si="16"/>
        <v>166561.30000000005</v>
      </c>
      <c r="M89" s="293">
        <f t="shared" si="17"/>
        <v>17673.477777777782</v>
      </c>
      <c r="N89" s="282"/>
      <c r="O89" s="298">
        <f t="shared" si="18"/>
        <v>1332490.4000000004</v>
      </c>
      <c r="P89" s="238">
        <f t="shared" si="19"/>
        <v>17227.380415744101</v>
      </c>
      <c r="Q89" s="282"/>
      <c r="R89" s="238">
        <v>66267</v>
      </c>
    </row>
    <row r="90" spans="2:18">
      <c r="B90" s="357" t="s">
        <v>207</v>
      </c>
      <c r="C90" s="357">
        <v>18</v>
      </c>
      <c r="D90" s="215">
        <v>20</v>
      </c>
      <c r="E90" s="282">
        <f t="shared" si="22"/>
        <v>83280.650000000009</v>
      </c>
      <c r="F90" s="238">
        <f t="shared" si="23"/>
        <v>1665613.0000000002</v>
      </c>
      <c r="H90" s="238">
        <v>15000</v>
      </c>
      <c r="I90" s="282"/>
      <c r="J90" s="238">
        <f t="shared" si="14"/>
        <v>318122.60000000009</v>
      </c>
      <c r="K90" s="238">
        <f t="shared" si="15"/>
        <v>8915.370588235297</v>
      </c>
      <c r="L90" s="238">
        <f t="shared" si="16"/>
        <v>166561.30000000005</v>
      </c>
      <c r="M90" s="293">
        <f t="shared" si="17"/>
        <v>17673.477777777782</v>
      </c>
      <c r="N90" s="282"/>
      <c r="O90" s="298">
        <f t="shared" si="18"/>
        <v>1332490.4000000004</v>
      </c>
      <c r="P90" s="238">
        <f t="shared" si="19"/>
        <v>17227.380415744101</v>
      </c>
      <c r="Q90" s="282"/>
      <c r="R90" s="238">
        <v>66267</v>
      </c>
    </row>
    <row r="91" spans="2:18">
      <c r="B91" s="357" t="s">
        <v>207</v>
      </c>
      <c r="C91" s="357">
        <v>19</v>
      </c>
      <c r="D91" s="215">
        <v>20</v>
      </c>
      <c r="E91" s="282">
        <f t="shared" si="22"/>
        <v>83280.650000000009</v>
      </c>
      <c r="F91" s="238">
        <f t="shared" si="23"/>
        <v>1665613.0000000002</v>
      </c>
      <c r="H91" s="238">
        <v>15000</v>
      </c>
      <c r="I91" s="282"/>
      <c r="J91" s="238">
        <f t="shared" si="14"/>
        <v>318122.60000000009</v>
      </c>
      <c r="K91" s="238">
        <f t="shared" si="15"/>
        <v>8915.370588235297</v>
      </c>
      <c r="L91" s="238">
        <f t="shared" si="16"/>
        <v>166561.30000000005</v>
      </c>
      <c r="M91" s="293">
        <f t="shared" si="17"/>
        <v>17673.477777777782</v>
      </c>
      <c r="N91" s="282"/>
      <c r="O91" s="298">
        <f t="shared" si="18"/>
        <v>1332490.4000000004</v>
      </c>
      <c r="P91" s="238">
        <f t="shared" si="19"/>
        <v>17227.380415744101</v>
      </c>
      <c r="Q91" s="282"/>
      <c r="R91" s="238">
        <v>66267</v>
      </c>
    </row>
    <row r="92" spans="2:18">
      <c r="B92" s="357" t="s">
        <v>207</v>
      </c>
      <c r="C92" s="357">
        <v>20</v>
      </c>
      <c r="D92" s="215">
        <v>20</v>
      </c>
      <c r="E92" s="282">
        <f t="shared" si="22"/>
        <v>83280.650000000009</v>
      </c>
      <c r="F92" s="238">
        <f t="shared" si="23"/>
        <v>1665613.0000000002</v>
      </c>
      <c r="H92" s="238">
        <v>15000</v>
      </c>
      <c r="I92" s="282"/>
      <c r="J92" s="238">
        <f t="shared" si="14"/>
        <v>318122.60000000009</v>
      </c>
      <c r="K92" s="238">
        <f t="shared" si="15"/>
        <v>8915.370588235297</v>
      </c>
      <c r="L92" s="238">
        <f t="shared" si="16"/>
        <v>166561.30000000005</v>
      </c>
      <c r="M92" s="293">
        <f t="shared" si="17"/>
        <v>17673.477777777782</v>
      </c>
      <c r="N92" s="282"/>
      <c r="O92" s="298">
        <f t="shared" si="18"/>
        <v>1332490.4000000004</v>
      </c>
      <c r="P92" s="238">
        <f t="shared" si="19"/>
        <v>17227.380415744101</v>
      </c>
      <c r="Q92" s="282"/>
      <c r="R92" s="238">
        <v>66267</v>
      </c>
    </row>
    <row r="93" spans="2:18">
      <c r="B93" s="357" t="s">
        <v>207</v>
      </c>
      <c r="C93" s="357">
        <v>21</v>
      </c>
      <c r="D93" s="215">
        <v>20</v>
      </c>
      <c r="E93" s="282">
        <f t="shared" si="22"/>
        <v>83280.650000000009</v>
      </c>
      <c r="F93" s="238">
        <f t="shared" si="23"/>
        <v>1665613.0000000002</v>
      </c>
      <c r="H93" s="238">
        <v>15000</v>
      </c>
      <c r="I93" s="282"/>
      <c r="J93" s="238">
        <f t="shared" si="14"/>
        <v>318122.60000000009</v>
      </c>
      <c r="K93" s="238">
        <f t="shared" si="15"/>
        <v>8915.370588235297</v>
      </c>
      <c r="L93" s="238">
        <f t="shared" si="16"/>
        <v>166561.30000000005</v>
      </c>
      <c r="M93" s="293">
        <f t="shared" si="17"/>
        <v>17673.477777777782</v>
      </c>
      <c r="N93" s="282"/>
      <c r="O93" s="298">
        <f t="shared" si="18"/>
        <v>1332490.4000000004</v>
      </c>
      <c r="P93" s="238">
        <f t="shared" si="19"/>
        <v>17227.380415744101</v>
      </c>
      <c r="Q93" s="282"/>
      <c r="R93" s="238">
        <v>66267</v>
      </c>
    </row>
    <row r="94" spans="2:18">
      <c r="B94" s="357" t="s">
        <v>207</v>
      </c>
      <c r="C94" s="357">
        <v>22</v>
      </c>
      <c r="D94" s="215">
        <v>20</v>
      </c>
      <c r="E94" s="282">
        <f t="shared" si="22"/>
        <v>84341.55</v>
      </c>
      <c r="F94" s="238">
        <f t="shared" si="23"/>
        <v>1686831</v>
      </c>
      <c r="H94" s="238">
        <v>15000</v>
      </c>
      <c r="I94" s="282"/>
      <c r="J94" s="238">
        <f t="shared" si="14"/>
        <v>322366.2</v>
      </c>
      <c r="K94" s="238">
        <f t="shared" si="15"/>
        <v>9040.1823529411777</v>
      </c>
      <c r="L94" s="238">
        <f t="shared" si="16"/>
        <v>168683.1</v>
      </c>
      <c r="M94" s="293">
        <f t="shared" si="17"/>
        <v>17909.233333333334</v>
      </c>
      <c r="N94" s="282"/>
      <c r="O94" s="298">
        <f t="shared" si="18"/>
        <v>1349464.8</v>
      </c>
      <c r="P94" s="238">
        <f t="shared" si="19"/>
        <v>17445.981015520032</v>
      </c>
      <c r="Q94" s="282"/>
      <c r="R94" s="238">
        <v>66957</v>
      </c>
    </row>
    <row r="95" spans="2:18">
      <c r="B95" s="357" t="s">
        <v>207</v>
      </c>
      <c r="C95" s="357">
        <v>23</v>
      </c>
      <c r="D95" s="215">
        <v>20</v>
      </c>
      <c r="E95" s="282">
        <f t="shared" si="22"/>
        <v>84341.55</v>
      </c>
      <c r="F95" s="238">
        <f t="shared" si="23"/>
        <v>1686831</v>
      </c>
      <c r="H95" s="238">
        <v>15000</v>
      </c>
      <c r="I95" s="282"/>
      <c r="J95" s="238">
        <f t="shared" si="14"/>
        <v>322366.2</v>
      </c>
      <c r="K95" s="238">
        <f t="shared" si="15"/>
        <v>9040.1823529411777</v>
      </c>
      <c r="L95" s="238">
        <f t="shared" si="16"/>
        <v>168683.1</v>
      </c>
      <c r="M95" s="293">
        <f t="shared" si="17"/>
        <v>17909.233333333334</v>
      </c>
      <c r="N95" s="282"/>
      <c r="O95" s="298">
        <f t="shared" si="18"/>
        <v>1349464.8</v>
      </c>
      <c r="P95" s="238">
        <f t="shared" si="19"/>
        <v>17445.981015520032</v>
      </c>
      <c r="Q95" s="282"/>
      <c r="R95" s="238">
        <v>66957</v>
      </c>
    </row>
    <row r="96" spans="2:18">
      <c r="B96" s="357" t="s">
        <v>207</v>
      </c>
      <c r="C96" s="357">
        <v>24</v>
      </c>
      <c r="D96" s="215">
        <v>20</v>
      </c>
      <c r="E96" s="282">
        <f t="shared" si="22"/>
        <v>83811.100000000006</v>
      </c>
      <c r="F96" s="238">
        <f t="shared" si="23"/>
        <v>1676222</v>
      </c>
      <c r="H96" s="238">
        <v>15000</v>
      </c>
      <c r="I96" s="282"/>
      <c r="J96" s="238">
        <f t="shared" ref="J96:J159" si="24">F96*0.2-H96</f>
        <v>320244.40000000002</v>
      </c>
      <c r="K96" s="238">
        <f t="shared" ref="K96:K159" si="25">(F96*0.1-H96)/17</f>
        <v>8977.7764705882364</v>
      </c>
      <c r="L96" s="238">
        <f t="shared" ref="L96:L159" si="26">F96*0.1</f>
        <v>167622.20000000001</v>
      </c>
      <c r="M96" s="293">
        <f t="shared" ref="M96:M159" si="27">J96/18</f>
        <v>17791.355555555558</v>
      </c>
      <c r="N96" s="282"/>
      <c r="O96" s="298">
        <f t="shared" ref="O96:O159" si="28">F96*0.8</f>
        <v>1340977.6000000001</v>
      </c>
      <c r="P96" s="238">
        <f t="shared" ref="P96:P159" si="29">PMT(13%/12,180,-O96)+R96/180</f>
        <v>17336.680715632065</v>
      </c>
      <c r="Q96" s="282"/>
      <c r="R96" s="238">
        <v>66612</v>
      </c>
    </row>
    <row r="97" spans="2:18">
      <c r="B97" s="357" t="s">
        <v>207</v>
      </c>
      <c r="C97" s="357">
        <v>25</v>
      </c>
      <c r="D97" s="215">
        <v>20</v>
      </c>
      <c r="E97" s="282">
        <f t="shared" si="22"/>
        <v>83811.100000000006</v>
      </c>
      <c r="F97" s="238">
        <f t="shared" si="23"/>
        <v>1676222</v>
      </c>
      <c r="H97" s="238">
        <v>15000</v>
      </c>
      <c r="I97" s="282"/>
      <c r="J97" s="238">
        <f t="shared" si="24"/>
        <v>320244.40000000002</v>
      </c>
      <c r="K97" s="238">
        <f t="shared" si="25"/>
        <v>8977.7764705882364</v>
      </c>
      <c r="L97" s="238">
        <f t="shared" si="26"/>
        <v>167622.20000000001</v>
      </c>
      <c r="M97" s="293">
        <f t="shared" si="27"/>
        <v>17791.355555555558</v>
      </c>
      <c r="N97" s="282"/>
      <c r="O97" s="298">
        <f t="shared" si="28"/>
        <v>1340977.6000000001</v>
      </c>
      <c r="P97" s="238">
        <f t="shared" si="29"/>
        <v>17336.680715632065</v>
      </c>
      <c r="Q97" s="282"/>
      <c r="R97" s="238">
        <v>66612</v>
      </c>
    </row>
    <row r="98" spans="2:18">
      <c r="B98" s="357" t="s">
        <v>207</v>
      </c>
      <c r="C98" s="357">
        <v>26</v>
      </c>
      <c r="D98" s="215">
        <v>20</v>
      </c>
      <c r="E98" s="282">
        <f t="shared" si="22"/>
        <v>83280.650000000009</v>
      </c>
      <c r="F98" s="238">
        <f t="shared" si="23"/>
        <v>1665613.0000000002</v>
      </c>
      <c r="H98" s="238">
        <v>15000</v>
      </c>
      <c r="I98" s="282"/>
      <c r="J98" s="238">
        <f t="shared" si="24"/>
        <v>318122.60000000009</v>
      </c>
      <c r="K98" s="238">
        <f t="shared" si="25"/>
        <v>8915.370588235297</v>
      </c>
      <c r="L98" s="238">
        <f t="shared" si="26"/>
        <v>166561.30000000005</v>
      </c>
      <c r="M98" s="293">
        <f t="shared" si="27"/>
        <v>17673.477777777782</v>
      </c>
      <c r="N98" s="282"/>
      <c r="O98" s="298">
        <f t="shared" si="28"/>
        <v>1332490.4000000004</v>
      </c>
      <c r="P98" s="238">
        <f t="shared" si="29"/>
        <v>17227.380415744101</v>
      </c>
      <c r="Q98" s="282"/>
      <c r="R98" s="238">
        <v>66267</v>
      </c>
    </row>
    <row r="99" spans="2:18">
      <c r="B99" s="357" t="s">
        <v>207</v>
      </c>
      <c r="C99" s="357">
        <v>27</v>
      </c>
      <c r="D99" s="215">
        <v>20</v>
      </c>
      <c r="E99" s="282">
        <f t="shared" si="22"/>
        <v>83280.650000000009</v>
      </c>
      <c r="F99" s="238">
        <f t="shared" si="23"/>
        <v>1665613.0000000002</v>
      </c>
      <c r="H99" s="238">
        <v>15000</v>
      </c>
      <c r="I99" s="282"/>
      <c r="J99" s="238">
        <f t="shared" si="24"/>
        <v>318122.60000000009</v>
      </c>
      <c r="K99" s="238">
        <f t="shared" si="25"/>
        <v>8915.370588235297</v>
      </c>
      <c r="L99" s="238">
        <f t="shared" si="26"/>
        <v>166561.30000000005</v>
      </c>
      <c r="M99" s="293">
        <f t="shared" si="27"/>
        <v>17673.477777777782</v>
      </c>
      <c r="N99" s="282"/>
      <c r="O99" s="298">
        <f t="shared" si="28"/>
        <v>1332490.4000000004</v>
      </c>
      <c r="P99" s="238">
        <f t="shared" si="29"/>
        <v>17227.380415744101</v>
      </c>
      <c r="Q99" s="282"/>
      <c r="R99" s="238">
        <v>66267</v>
      </c>
    </row>
    <row r="100" spans="2:18">
      <c r="B100" s="357" t="s">
        <v>207</v>
      </c>
      <c r="C100" s="357">
        <v>28</v>
      </c>
      <c r="D100" s="215">
        <v>20</v>
      </c>
      <c r="E100" s="282">
        <f t="shared" si="22"/>
        <v>83811.100000000006</v>
      </c>
      <c r="F100" s="238">
        <f t="shared" si="23"/>
        <v>1676222</v>
      </c>
      <c r="H100" s="238">
        <v>15000</v>
      </c>
      <c r="I100" s="282"/>
      <c r="J100" s="238">
        <f t="shared" si="24"/>
        <v>320244.40000000002</v>
      </c>
      <c r="K100" s="238">
        <f t="shared" si="25"/>
        <v>8977.7764705882364</v>
      </c>
      <c r="L100" s="238">
        <f t="shared" si="26"/>
        <v>167622.20000000001</v>
      </c>
      <c r="M100" s="293">
        <f t="shared" si="27"/>
        <v>17791.355555555558</v>
      </c>
      <c r="N100" s="282"/>
      <c r="O100" s="298">
        <f t="shared" si="28"/>
        <v>1340977.6000000001</v>
      </c>
      <c r="P100" s="238">
        <f t="shared" si="29"/>
        <v>17336.680715632065</v>
      </c>
      <c r="Q100" s="282"/>
      <c r="R100" s="238">
        <v>66612</v>
      </c>
    </row>
    <row r="101" spans="2:18">
      <c r="B101" s="357" t="s">
        <v>207</v>
      </c>
      <c r="C101" s="357">
        <v>29</v>
      </c>
      <c r="D101" s="215">
        <v>20</v>
      </c>
      <c r="E101" s="282">
        <f t="shared" si="22"/>
        <v>83811.100000000006</v>
      </c>
      <c r="F101" s="238">
        <f t="shared" si="23"/>
        <v>1676222</v>
      </c>
      <c r="H101" s="238">
        <v>15000</v>
      </c>
      <c r="I101" s="282"/>
      <c r="J101" s="238">
        <f t="shared" si="24"/>
        <v>320244.40000000002</v>
      </c>
      <c r="K101" s="238">
        <f t="shared" si="25"/>
        <v>8977.7764705882364</v>
      </c>
      <c r="L101" s="238">
        <f t="shared" si="26"/>
        <v>167622.20000000001</v>
      </c>
      <c r="M101" s="293">
        <f t="shared" si="27"/>
        <v>17791.355555555558</v>
      </c>
      <c r="N101" s="282"/>
      <c r="O101" s="298">
        <f t="shared" si="28"/>
        <v>1340977.6000000001</v>
      </c>
      <c r="P101" s="238">
        <f t="shared" si="29"/>
        <v>17336.680715632065</v>
      </c>
      <c r="Q101" s="282"/>
      <c r="R101" s="238">
        <f>R100</f>
        <v>66612</v>
      </c>
    </row>
    <row r="102" spans="2:18">
      <c r="B102" s="357" t="s">
        <v>207</v>
      </c>
      <c r="C102" s="357">
        <v>30</v>
      </c>
      <c r="D102" s="215">
        <v>20</v>
      </c>
      <c r="E102" s="282">
        <f t="shared" si="22"/>
        <v>84341.55</v>
      </c>
      <c r="F102" s="238">
        <f t="shared" si="23"/>
        <v>1686831</v>
      </c>
      <c r="H102" s="238">
        <v>15000</v>
      </c>
      <c r="I102" s="282"/>
      <c r="J102" s="238">
        <f t="shared" si="24"/>
        <v>322366.2</v>
      </c>
      <c r="K102" s="238">
        <f t="shared" si="25"/>
        <v>9040.1823529411777</v>
      </c>
      <c r="L102" s="238">
        <f t="shared" si="26"/>
        <v>168683.1</v>
      </c>
      <c r="M102" s="293">
        <f t="shared" si="27"/>
        <v>17909.233333333334</v>
      </c>
      <c r="N102" s="282"/>
      <c r="O102" s="298">
        <f t="shared" si="28"/>
        <v>1349464.8</v>
      </c>
      <c r="P102" s="238">
        <f t="shared" si="29"/>
        <v>17445.981015520032</v>
      </c>
      <c r="Q102" s="282"/>
      <c r="R102" s="238">
        <v>66957</v>
      </c>
    </row>
    <row r="103" spans="2:18">
      <c r="B103" s="357"/>
      <c r="C103" s="357"/>
      <c r="D103" s="215"/>
      <c r="E103" s="282">
        <f t="shared" si="22"/>
        <v>0</v>
      </c>
      <c r="F103" s="238">
        <f t="shared" si="23"/>
        <v>0</v>
      </c>
      <c r="H103" s="238"/>
      <c r="I103" s="282"/>
      <c r="J103" s="238">
        <f t="shared" si="24"/>
        <v>0</v>
      </c>
      <c r="K103" s="238">
        <f t="shared" si="25"/>
        <v>0</v>
      </c>
      <c r="L103" s="238">
        <f t="shared" si="26"/>
        <v>0</v>
      </c>
      <c r="M103" s="293">
        <f t="shared" si="27"/>
        <v>0</v>
      </c>
      <c r="N103" s="282"/>
      <c r="O103" s="298">
        <f t="shared" si="28"/>
        <v>0</v>
      </c>
      <c r="P103" s="238">
        <f t="shared" si="29"/>
        <v>0</v>
      </c>
      <c r="Q103" s="282"/>
      <c r="R103" s="238"/>
    </row>
    <row r="104" spans="2:18" hidden="1">
      <c r="B104" s="372" t="s">
        <v>206</v>
      </c>
      <c r="C104" s="372">
        <v>1</v>
      </c>
      <c r="D104" s="215">
        <v>20</v>
      </c>
      <c r="E104" s="61">
        <f t="shared" ref="E104:E135" si="30">E73*1.01</f>
        <v>85720.72</v>
      </c>
      <c r="F104" s="238">
        <f t="shared" si="23"/>
        <v>1714414.4</v>
      </c>
      <c r="H104" s="238">
        <v>15000</v>
      </c>
      <c r="I104" s="282"/>
      <c r="J104" s="238">
        <f t="shared" si="24"/>
        <v>327882.88</v>
      </c>
      <c r="K104" s="238">
        <f t="shared" si="25"/>
        <v>9202.4376470588231</v>
      </c>
      <c r="L104" s="238">
        <f t="shared" si="26"/>
        <v>171441.44</v>
      </c>
      <c r="M104" s="293">
        <f t="shared" si="27"/>
        <v>18215.715555555555</v>
      </c>
      <c r="N104" s="282"/>
      <c r="O104" s="298">
        <f t="shared" si="28"/>
        <v>1371531.52</v>
      </c>
      <c r="P104" s="238">
        <f t="shared" si="29"/>
        <v>17353.195128562078</v>
      </c>
      <c r="Q104" s="282"/>
      <c r="R104" s="238"/>
    </row>
    <row r="105" spans="2:18">
      <c r="B105" s="357" t="s">
        <v>206</v>
      </c>
      <c r="C105" s="357">
        <v>2</v>
      </c>
      <c r="D105" s="215">
        <v>20</v>
      </c>
      <c r="E105" s="61">
        <f t="shared" si="30"/>
        <v>84649.21100000001</v>
      </c>
      <c r="F105" s="238">
        <f t="shared" si="23"/>
        <v>1692984.2200000002</v>
      </c>
      <c r="H105" s="238">
        <v>15000</v>
      </c>
      <c r="I105" s="282"/>
      <c r="J105" s="238">
        <f t="shared" si="24"/>
        <v>323596.84400000004</v>
      </c>
      <c r="K105" s="238">
        <f t="shared" si="25"/>
        <v>9076.3777647058832</v>
      </c>
      <c r="L105" s="238">
        <f t="shared" si="26"/>
        <v>169298.42200000002</v>
      </c>
      <c r="M105" s="293">
        <f t="shared" si="27"/>
        <v>17977.602444444448</v>
      </c>
      <c r="N105" s="282"/>
      <c r="O105" s="298">
        <f t="shared" si="28"/>
        <v>1354387.3760000002</v>
      </c>
      <c r="P105" s="238">
        <f t="shared" si="29"/>
        <v>17509.374633899497</v>
      </c>
      <c r="Q105" s="282"/>
      <c r="R105" s="238">
        <v>67157</v>
      </c>
    </row>
    <row r="106" spans="2:18">
      <c r="B106" s="357" t="s">
        <v>206</v>
      </c>
      <c r="C106" s="357">
        <v>3</v>
      </c>
      <c r="D106" s="215">
        <v>20</v>
      </c>
      <c r="E106" s="61">
        <f t="shared" si="30"/>
        <v>84649.21100000001</v>
      </c>
      <c r="F106" s="238">
        <f t="shared" si="23"/>
        <v>1692984.2200000002</v>
      </c>
      <c r="H106" s="238">
        <v>15000</v>
      </c>
      <c r="I106" s="282"/>
      <c r="J106" s="238">
        <f t="shared" si="24"/>
        <v>323596.84400000004</v>
      </c>
      <c r="K106" s="238">
        <f t="shared" si="25"/>
        <v>9076.3777647058832</v>
      </c>
      <c r="L106" s="238">
        <f t="shared" si="26"/>
        <v>169298.42200000002</v>
      </c>
      <c r="M106" s="293">
        <f t="shared" si="27"/>
        <v>17977.602444444448</v>
      </c>
      <c r="N106" s="282"/>
      <c r="O106" s="298">
        <f t="shared" si="28"/>
        <v>1354387.3760000002</v>
      </c>
      <c r="P106" s="238">
        <f t="shared" si="29"/>
        <v>17509.374633899497</v>
      </c>
      <c r="Q106" s="282"/>
      <c r="R106" s="238">
        <v>67157</v>
      </c>
    </row>
    <row r="107" spans="2:18">
      <c r="B107" s="357" t="s">
        <v>206</v>
      </c>
      <c r="C107" s="357">
        <v>4</v>
      </c>
      <c r="D107" s="215">
        <v>20</v>
      </c>
      <c r="E107" s="61">
        <f t="shared" si="30"/>
        <v>84649.21100000001</v>
      </c>
      <c r="F107" s="238">
        <f t="shared" ref="F107:F138" si="31">D107*E107</f>
        <v>1692984.2200000002</v>
      </c>
      <c r="H107" s="238">
        <v>15000</v>
      </c>
      <c r="I107" s="282"/>
      <c r="J107" s="238">
        <f t="shared" si="24"/>
        <v>323596.84400000004</v>
      </c>
      <c r="K107" s="238">
        <f t="shared" si="25"/>
        <v>9076.3777647058832</v>
      </c>
      <c r="L107" s="238">
        <f t="shared" si="26"/>
        <v>169298.42200000002</v>
      </c>
      <c r="M107" s="293">
        <f t="shared" si="27"/>
        <v>17977.602444444448</v>
      </c>
      <c r="N107" s="282"/>
      <c r="O107" s="298">
        <f t="shared" si="28"/>
        <v>1354387.3760000002</v>
      </c>
      <c r="P107" s="238">
        <f t="shared" si="29"/>
        <v>17509.374633899497</v>
      </c>
      <c r="Q107" s="282"/>
      <c r="R107" s="238">
        <v>67157</v>
      </c>
    </row>
    <row r="108" spans="2:18" hidden="1">
      <c r="B108" s="372" t="s">
        <v>206</v>
      </c>
      <c r="C108" s="372">
        <v>5</v>
      </c>
      <c r="D108" s="215">
        <v>20</v>
      </c>
      <c r="E108" s="61">
        <f t="shared" si="30"/>
        <v>85720.72</v>
      </c>
      <c r="F108" s="238">
        <f t="shared" si="31"/>
        <v>1714414.4</v>
      </c>
      <c r="H108" s="238">
        <v>15000</v>
      </c>
      <c r="I108" s="282"/>
      <c r="J108" s="238">
        <f t="shared" si="24"/>
        <v>327882.88</v>
      </c>
      <c r="K108" s="238">
        <f t="shared" si="25"/>
        <v>9202.4376470588231</v>
      </c>
      <c r="L108" s="238">
        <f t="shared" si="26"/>
        <v>171441.44</v>
      </c>
      <c r="M108" s="293">
        <f t="shared" si="27"/>
        <v>18215.715555555555</v>
      </c>
      <c r="N108" s="282"/>
      <c r="O108" s="298">
        <f t="shared" si="28"/>
        <v>1371531.52</v>
      </c>
      <c r="P108" s="238">
        <f t="shared" si="29"/>
        <v>17353.195128562078</v>
      </c>
      <c r="Q108" s="282"/>
      <c r="R108" s="238"/>
    </row>
    <row r="109" spans="2:18">
      <c r="B109" s="357" t="s">
        <v>206</v>
      </c>
      <c r="C109" s="357">
        <v>6</v>
      </c>
      <c r="D109" s="215">
        <v>20</v>
      </c>
      <c r="E109" s="61">
        <f t="shared" si="30"/>
        <v>85720.72</v>
      </c>
      <c r="F109" s="238">
        <f t="shared" si="31"/>
        <v>1714414.4</v>
      </c>
      <c r="H109" s="238">
        <v>15000</v>
      </c>
      <c r="I109" s="282"/>
      <c r="J109" s="238">
        <f t="shared" si="24"/>
        <v>327882.88</v>
      </c>
      <c r="K109" s="238">
        <f t="shared" si="25"/>
        <v>9202.4376470588231</v>
      </c>
      <c r="L109" s="238">
        <f t="shared" si="26"/>
        <v>171441.44</v>
      </c>
      <c r="M109" s="293">
        <f t="shared" si="27"/>
        <v>18215.715555555555</v>
      </c>
      <c r="N109" s="282"/>
      <c r="O109" s="298">
        <f t="shared" si="28"/>
        <v>1371531.52</v>
      </c>
      <c r="P109" s="238">
        <f t="shared" si="29"/>
        <v>17730.15623967319</v>
      </c>
      <c r="Q109" s="282"/>
      <c r="R109" s="238">
        <v>67853</v>
      </c>
    </row>
    <row r="110" spans="2:18">
      <c r="B110" s="357" t="s">
        <v>206</v>
      </c>
      <c r="C110" s="357">
        <v>7</v>
      </c>
      <c r="D110" s="215">
        <v>20</v>
      </c>
      <c r="E110" s="61">
        <f t="shared" si="30"/>
        <v>84649.21100000001</v>
      </c>
      <c r="F110" s="238">
        <f t="shared" si="31"/>
        <v>1692984.2200000002</v>
      </c>
      <c r="H110" s="238">
        <v>15000</v>
      </c>
      <c r="I110" s="282"/>
      <c r="J110" s="238">
        <f t="shared" si="24"/>
        <v>323596.84400000004</v>
      </c>
      <c r="K110" s="238">
        <f t="shared" si="25"/>
        <v>9076.3777647058832</v>
      </c>
      <c r="L110" s="238">
        <f t="shared" si="26"/>
        <v>169298.42200000002</v>
      </c>
      <c r="M110" s="293">
        <f t="shared" si="27"/>
        <v>17977.602444444448</v>
      </c>
      <c r="N110" s="282"/>
      <c r="O110" s="298">
        <f t="shared" si="28"/>
        <v>1354387.3760000002</v>
      </c>
      <c r="P110" s="238">
        <f t="shared" si="29"/>
        <v>17509.374633899497</v>
      </c>
      <c r="Q110" s="282"/>
      <c r="R110" s="238">
        <v>67157</v>
      </c>
    </row>
    <row r="111" spans="2:18">
      <c r="B111" s="357" t="s">
        <v>206</v>
      </c>
      <c r="C111" s="357">
        <v>8</v>
      </c>
      <c r="D111" s="215">
        <v>20</v>
      </c>
      <c r="E111" s="61">
        <f t="shared" si="30"/>
        <v>84649.21100000001</v>
      </c>
      <c r="F111" s="238">
        <f t="shared" si="31"/>
        <v>1692984.2200000002</v>
      </c>
      <c r="H111" s="238">
        <v>15000</v>
      </c>
      <c r="I111" s="282"/>
      <c r="J111" s="238">
        <f t="shared" si="24"/>
        <v>323596.84400000004</v>
      </c>
      <c r="K111" s="238">
        <f t="shared" si="25"/>
        <v>9076.3777647058832</v>
      </c>
      <c r="L111" s="238">
        <f t="shared" si="26"/>
        <v>169298.42200000002</v>
      </c>
      <c r="M111" s="293">
        <f t="shared" si="27"/>
        <v>17977.602444444448</v>
      </c>
      <c r="N111" s="282"/>
      <c r="O111" s="298">
        <f t="shared" si="28"/>
        <v>1354387.3760000002</v>
      </c>
      <c r="P111" s="238">
        <f t="shared" si="29"/>
        <v>17509.374633899497</v>
      </c>
      <c r="Q111" s="282"/>
      <c r="R111" s="238">
        <v>67157</v>
      </c>
    </row>
    <row r="112" spans="2:18">
      <c r="B112" s="357" t="s">
        <v>206</v>
      </c>
      <c r="C112" s="357">
        <v>9</v>
      </c>
      <c r="D112" s="215">
        <v>20</v>
      </c>
      <c r="E112" s="61">
        <f t="shared" si="30"/>
        <v>85184.965500000006</v>
      </c>
      <c r="F112" s="238">
        <f t="shared" si="31"/>
        <v>1703699.31</v>
      </c>
      <c r="H112" s="238">
        <v>15000</v>
      </c>
      <c r="I112" s="282"/>
      <c r="J112" s="238">
        <f t="shared" si="24"/>
        <v>325739.86200000002</v>
      </c>
      <c r="K112" s="238">
        <f t="shared" si="25"/>
        <v>9139.4077058823532</v>
      </c>
      <c r="L112" s="238">
        <f t="shared" si="26"/>
        <v>170369.93100000001</v>
      </c>
      <c r="M112" s="293">
        <f t="shared" si="27"/>
        <v>18096.659</v>
      </c>
      <c r="N112" s="282"/>
      <c r="O112" s="298">
        <f t="shared" si="28"/>
        <v>1362959.4480000001</v>
      </c>
      <c r="P112" s="238">
        <f t="shared" si="29"/>
        <v>26709.732103453007</v>
      </c>
      <c r="Q112" s="282"/>
      <c r="R112" s="238">
        <v>1703699</v>
      </c>
    </row>
    <row r="113" spans="2:18">
      <c r="B113" s="357" t="s">
        <v>206</v>
      </c>
      <c r="C113" s="357">
        <v>10</v>
      </c>
      <c r="D113" s="215">
        <v>20</v>
      </c>
      <c r="E113" s="61">
        <f t="shared" si="30"/>
        <v>85184.965500000006</v>
      </c>
      <c r="F113" s="238">
        <f t="shared" si="31"/>
        <v>1703699.31</v>
      </c>
      <c r="H113" s="238">
        <v>15000</v>
      </c>
      <c r="I113" s="282"/>
      <c r="J113" s="238">
        <f t="shared" si="24"/>
        <v>325739.86200000002</v>
      </c>
      <c r="K113" s="238">
        <f t="shared" si="25"/>
        <v>9139.4077058823532</v>
      </c>
      <c r="L113" s="238">
        <f t="shared" si="26"/>
        <v>170369.93100000001</v>
      </c>
      <c r="M113" s="293">
        <f t="shared" si="27"/>
        <v>18096.659</v>
      </c>
      <c r="N113" s="282"/>
      <c r="O113" s="298">
        <f t="shared" si="28"/>
        <v>1362959.4480000001</v>
      </c>
      <c r="P113" s="238">
        <f t="shared" si="29"/>
        <v>26709.732103453007</v>
      </c>
      <c r="Q113" s="282"/>
      <c r="R113" s="238">
        <v>1703699</v>
      </c>
    </row>
    <row r="114" spans="2:18">
      <c r="B114" s="357" t="s">
        <v>206</v>
      </c>
      <c r="C114" s="357">
        <v>11</v>
      </c>
      <c r="D114" s="215">
        <v>20</v>
      </c>
      <c r="E114" s="61">
        <f t="shared" si="30"/>
        <v>84649.21100000001</v>
      </c>
      <c r="F114" s="238">
        <f t="shared" si="31"/>
        <v>1692984.2200000002</v>
      </c>
      <c r="H114" s="238">
        <v>15000</v>
      </c>
      <c r="I114" s="282"/>
      <c r="J114" s="238">
        <f t="shared" si="24"/>
        <v>323596.84400000004</v>
      </c>
      <c r="K114" s="238">
        <f t="shared" si="25"/>
        <v>9076.3777647058832</v>
      </c>
      <c r="L114" s="238">
        <f t="shared" si="26"/>
        <v>169298.42200000002</v>
      </c>
      <c r="M114" s="293">
        <f t="shared" si="27"/>
        <v>17977.602444444448</v>
      </c>
      <c r="N114" s="282"/>
      <c r="O114" s="298">
        <f t="shared" si="28"/>
        <v>1354387.3760000002</v>
      </c>
      <c r="P114" s="238">
        <f t="shared" si="29"/>
        <v>26601.274633899498</v>
      </c>
      <c r="Q114" s="282"/>
      <c r="R114" s="238">
        <v>1703699</v>
      </c>
    </row>
    <row r="115" spans="2:18">
      <c r="B115" s="357" t="s">
        <v>206</v>
      </c>
      <c r="C115" s="357">
        <v>12</v>
      </c>
      <c r="D115" s="215">
        <v>20</v>
      </c>
      <c r="E115" s="61">
        <f t="shared" si="30"/>
        <v>84649.21100000001</v>
      </c>
      <c r="F115" s="238">
        <f t="shared" si="31"/>
        <v>1692984.2200000002</v>
      </c>
      <c r="H115" s="238">
        <v>15000</v>
      </c>
      <c r="I115" s="282"/>
      <c r="J115" s="238">
        <f t="shared" si="24"/>
        <v>323596.84400000004</v>
      </c>
      <c r="K115" s="238">
        <f t="shared" si="25"/>
        <v>9076.3777647058832</v>
      </c>
      <c r="L115" s="238">
        <f t="shared" si="26"/>
        <v>169298.42200000002</v>
      </c>
      <c r="M115" s="293">
        <f t="shared" si="27"/>
        <v>17977.602444444448</v>
      </c>
      <c r="N115" s="282"/>
      <c r="O115" s="298">
        <f t="shared" si="28"/>
        <v>1354387.3760000002</v>
      </c>
      <c r="P115" s="238">
        <f t="shared" si="29"/>
        <v>17509.374633899497</v>
      </c>
      <c r="Q115" s="282"/>
      <c r="R115" s="238">
        <v>67157</v>
      </c>
    </row>
    <row r="116" spans="2:18">
      <c r="B116" s="357" t="s">
        <v>206</v>
      </c>
      <c r="C116" s="357">
        <v>13</v>
      </c>
      <c r="D116" s="215">
        <v>20</v>
      </c>
      <c r="E116" s="61">
        <f t="shared" si="30"/>
        <v>85720.72</v>
      </c>
      <c r="F116" s="238">
        <f t="shared" si="31"/>
        <v>1714414.4</v>
      </c>
      <c r="H116" s="238">
        <v>15000</v>
      </c>
      <c r="I116" s="282"/>
      <c r="J116" s="238">
        <f t="shared" si="24"/>
        <v>327882.88</v>
      </c>
      <c r="K116" s="238">
        <f t="shared" si="25"/>
        <v>9202.4376470588231</v>
      </c>
      <c r="L116" s="238">
        <f t="shared" si="26"/>
        <v>171441.44</v>
      </c>
      <c r="M116" s="293">
        <f t="shared" si="27"/>
        <v>18215.715555555555</v>
      </c>
      <c r="N116" s="282"/>
      <c r="O116" s="298">
        <f t="shared" si="28"/>
        <v>1371531.52</v>
      </c>
      <c r="P116" s="238">
        <f t="shared" si="29"/>
        <v>17726.289573006521</v>
      </c>
      <c r="Q116" s="282"/>
      <c r="R116" s="238">
        <v>67157</v>
      </c>
    </row>
    <row r="117" spans="2:18">
      <c r="B117" s="357" t="s">
        <v>206</v>
      </c>
      <c r="C117" s="357">
        <v>14</v>
      </c>
      <c r="D117" s="215">
        <v>20</v>
      </c>
      <c r="E117" s="61">
        <f t="shared" si="30"/>
        <v>85184.965500000006</v>
      </c>
      <c r="F117" s="238">
        <f t="shared" si="31"/>
        <v>1703699.31</v>
      </c>
      <c r="H117" s="238">
        <v>15000</v>
      </c>
      <c r="I117" s="282"/>
      <c r="J117" s="238">
        <f t="shared" si="24"/>
        <v>325739.86200000002</v>
      </c>
      <c r="K117" s="238">
        <f t="shared" si="25"/>
        <v>9139.4077058823532</v>
      </c>
      <c r="L117" s="238">
        <f t="shared" si="26"/>
        <v>170369.93100000001</v>
      </c>
      <c r="M117" s="293">
        <f t="shared" si="27"/>
        <v>18096.659</v>
      </c>
      <c r="N117" s="282"/>
      <c r="O117" s="298">
        <f t="shared" si="28"/>
        <v>1362959.4480000001</v>
      </c>
      <c r="P117" s="238">
        <f t="shared" si="29"/>
        <v>17619.76543678634</v>
      </c>
      <c r="Q117" s="282"/>
      <c r="R117" s="238">
        <v>67505</v>
      </c>
    </row>
    <row r="118" spans="2:18">
      <c r="B118" s="357" t="s">
        <v>206</v>
      </c>
      <c r="C118" s="357">
        <v>15</v>
      </c>
      <c r="D118" s="215">
        <v>20</v>
      </c>
      <c r="E118" s="61">
        <f t="shared" si="30"/>
        <v>84113.456500000015</v>
      </c>
      <c r="F118" s="238">
        <f t="shared" si="31"/>
        <v>1682269.1300000004</v>
      </c>
      <c r="H118" s="238">
        <v>15000</v>
      </c>
      <c r="I118" s="282"/>
      <c r="J118" s="238">
        <f t="shared" si="24"/>
        <v>321453.82600000012</v>
      </c>
      <c r="K118" s="238">
        <f t="shared" si="25"/>
        <v>9013.3478235294151</v>
      </c>
      <c r="L118" s="238">
        <f t="shared" si="26"/>
        <v>168226.91300000006</v>
      </c>
      <c r="M118" s="293">
        <f t="shared" si="27"/>
        <v>17858.545888888897</v>
      </c>
      <c r="N118" s="282"/>
      <c r="O118" s="298">
        <f t="shared" si="28"/>
        <v>1345815.3040000005</v>
      </c>
      <c r="P118" s="238">
        <f t="shared" si="29"/>
        <v>17398.983831012654</v>
      </c>
      <c r="Q118" s="282"/>
      <c r="R118" s="238">
        <v>66809</v>
      </c>
    </row>
    <row r="119" spans="2:18">
      <c r="B119" s="357" t="s">
        <v>206</v>
      </c>
      <c r="C119" s="357">
        <v>16</v>
      </c>
      <c r="D119" s="215">
        <v>20</v>
      </c>
      <c r="E119" s="61">
        <f t="shared" si="30"/>
        <v>84113.456500000015</v>
      </c>
      <c r="F119" s="238">
        <f t="shared" si="31"/>
        <v>1682269.1300000004</v>
      </c>
      <c r="H119" s="238">
        <v>15000</v>
      </c>
      <c r="I119" s="282"/>
      <c r="J119" s="238">
        <f t="shared" si="24"/>
        <v>321453.82600000012</v>
      </c>
      <c r="K119" s="238">
        <f t="shared" si="25"/>
        <v>9013.3478235294151</v>
      </c>
      <c r="L119" s="238">
        <f t="shared" si="26"/>
        <v>168226.91300000006</v>
      </c>
      <c r="M119" s="293">
        <f t="shared" si="27"/>
        <v>17858.545888888897</v>
      </c>
      <c r="N119" s="282"/>
      <c r="O119" s="298">
        <f t="shared" si="28"/>
        <v>1345815.3040000005</v>
      </c>
      <c r="P119" s="238">
        <f t="shared" si="29"/>
        <v>17398.983831012654</v>
      </c>
      <c r="Q119" s="282"/>
      <c r="R119" s="238">
        <v>66809</v>
      </c>
    </row>
    <row r="120" spans="2:18">
      <c r="B120" s="357" t="s">
        <v>206</v>
      </c>
      <c r="C120" s="357">
        <v>17</v>
      </c>
      <c r="D120" s="215">
        <v>20</v>
      </c>
      <c r="E120" s="61">
        <f t="shared" si="30"/>
        <v>84113.456500000015</v>
      </c>
      <c r="F120" s="238">
        <f t="shared" si="31"/>
        <v>1682269.1300000004</v>
      </c>
      <c r="H120" s="238">
        <v>15000</v>
      </c>
      <c r="I120" s="282"/>
      <c r="J120" s="238">
        <f t="shared" si="24"/>
        <v>321453.82600000012</v>
      </c>
      <c r="K120" s="238">
        <f t="shared" si="25"/>
        <v>9013.3478235294151</v>
      </c>
      <c r="L120" s="238">
        <f t="shared" si="26"/>
        <v>168226.91300000006</v>
      </c>
      <c r="M120" s="293">
        <f t="shared" si="27"/>
        <v>17858.545888888897</v>
      </c>
      <c r="N120" s="282"/>
      <c r="O120" s="298">
        <f t="shared" si="28"/>
        <v>1345815.3040000005</v>
      </c>
      <c r="P120" s="238">
        <f t="shared" si="29"/>
        <v>17398.983831012654</v>
      </c>
      <c r="Q120" s="282"/>
      <c r="R120" s="238">
        <v>66809</v>
      </c>
    </row>
    <row r="121" spans="2:18">
      <c r="B121" s="357" t="s">
        <v>206</v>
      </c>
      <c r="C121" s="357">
        <v>18</v>
      </c>
      <c r="D121" s="215">
        <v>20</v>
      </c>
      <c r="E121" s="61">
        <f t="shared" si="30"/>
        <v>84113.456500000015</v>
      </c>
      <c r="F121" s="238">
        <f t="shared" si="31"/>
        <v>1682269.1300000004</v>
      </c>
      <c r="H121" s="238">
        <v>15000</v>
      </c>
      <c r="I121" s="282"/>
      <c r="J121" s="238">
        <f t="shared" si="24"/>
        <v>321453.82600000012</v>
      </c>
      <c r="K121" s="238">
        <f t="shared" si="25"/>
        <v>9013.3478235294151</v>
      </c>
      <c r="L121" s="238">
        <f t="shared" si="26"/>
        <v>168226.91300000006</v>
      </c>
      <c r="M121" s="293">
        <f t="shared" si="27"/>
        <v>17858.545888888897</v>
      </c>
      <c r="N121" s="282"/>
      <c r="O121" s="298">
        <f t="shared" si="28"/>
        <v>1345815.3040000005</v>
      </c>
      <c r="P121" s="238">
        <f t="shared" si="29"/>
        <v>17398.983831012654</v>
      </c>
      <c r="Q121" s="282"/>
      <c r="R121" s="238">
        <v>66809</v>
      </c>
    </row>
    <row r="122" spans="2:18">
      <c r="B122" s="357" t="s">
        <v>206</v>
      </c>
      <c r="C122" s="357">
        <v>19</v>
      </c>
      <c r="D122" s="215">
        <v>20</v>
      </c>
      <c r="E122" s="61">
        <f t="shared" si="30"/>
        <v>84113.456500000015</v>
      </c>
      <c r="F122" s="238">
        <f t="shared" si="31"/>
        <v>1682269.1300000004</v>
      </c>
      <c r="H122" s="238">
        <v>15000</v>
      </c>
      <c r="I122" s="282"/>
      <c r="J122" s="238">
        <f t="shared" si="24"/>
        <v>321453.82600000012</v>
      </c>
      <c r="K122" s="238">
        <f t="shared" si="25"/>
        <v>9013.3478235294151</v>
      </c>
      <c r="L122" s="238">
        <f t="shared" si="26"/>
        <v>168226.91300000006</v>
      </c>
      <c r="M122" s="293">
        <f t="shared" si="27"/>
        <v>17858.545888888897</v>
      </c>
      <c r="N122" s="282"/>
      <c r="O122" s="298">
        <f t="shared" si="28"/>
        <v>1345815.3040000005</v>
      </c>
      <c r="P122" s="238">
        <f t="shared" si="29"/>
        <v>17398.983831012654</v>
      </c>
      <c r="Q122" s="282"/>
      <c r="R122" s="238">
        <v>66809</v>
      </c>
    </row>
    <row r="123" spans="2:18">
      <c r="B123" s="357" t="s">
        <v>206</v>
      </c>
      <c r="C123" s="357">
        <v>20</v>
      </c>
      <c r="D123" s="215">
        <v>20</v>
      </c>
      <c r="E123" s="61">
        <f t="shared" si="30"/>
        <v>84113.456500000015</v>
      </c>
      <c r="F123" s="238">
        <f t="shared" si="31"/>
        <v>1682269.1300000004</v>
      </c>
      <c r="H123" s="238">
        <v>15000</v>
      </c>
      <c r="I123" s="282"/>
      <c r="J123" s="238">
        <f t="shared" si="24"/>
        <v>321453.82600000012</v>
      </c>
      <c r="K123" s="238">
        <f t="shared" si="25"/>
        <v>9013.3478235294151</v>
      </c>
      <c r="L123" s="238">
        <f t="shared" si="26"/>
        <v>168226.91300000006</v>
      </c>
      <c r="M123" s="293">
        <f t="shared" si="27"/>
        <v>17858.545888888897</v>
      </c>
      <c r="N123" s="282"/>
      <c r="O123" s="298">
        <f t="shared" si="28"/>
        <v>1345815.3040000005</v>
      </c>
      <c r="P123" s="238">
        <f t="shared" si="29"/>
        <v>17398.983831012654</v>
      </c>
      <c r="Q123" s="282"/>
      <c r="R123" s="238">
        <v>66809</v>
      </c>
    </row>
    <row r="124" spans="2:18">
      <c r="B124" s="357" t="s">
        <v>206</v>
      </c>
      <c r="C124" s="357">
        <v>21</v>
      </c>
      <c r="D124" s="215">
        <v>20</v>
      </c>
      <c r="E124" s="61">
        <f t="shared" si="30"/>
        <v>84113.456500000015</v>
      </c>
      <c r="F124" s="238">
        <f t="shared" si="31"/>
        <v>1682269.1300000004</v>
      </c>
      <c r="H124" s="238">
        <v>15000</v>
      </c>
      <c r="I124" s="282"/>
      <c r="J124" s="238">
        <f t="shared" si="24"/>
        <v>321453.82600000012</v>
      </c>
      <c r="K124" s="238">
        <f t="shared" si="25"/>
        <v>9013.3478235294151</v>
      </c>
      <c r="L124" s="238">
        <f t="shared" si="26"/>
        <v>168226.91300000006</v>
      </c>
      <c r="M124" s="293">
        <f t="shared" si="27"/>
        <v>17858.545888888897</v>
      </c>
      <c r="N124" s="282"/>
      <c r="O124" s="298">
        <f t="shared" si="28"/>
        <v>1345815.3040000005</v>
      </c>
      <c r="P124" s="238">
        <f t="shared" si="29"/>
        <v>17398.983831012654</v>
      </c>
      <c r="Q124" s="282"/>
      <c r="R124" s="238">
        <v>66809</v>
      </c>
    </row>
    <row r="125" spans="2:18">
      <c r="B125" s="357" t="s">
        <v>206</v>
      </c>
      <c r="C125" s="357">
        <v>22</v>
      </c>
      <c r="D125" s="215">
        <v>20</v>
      </c>
      <c r="E125" s="61">
        <f t="shared" si="30"/>
        <v>85184.965500000006</v>
      </c>
      <c r="F125" s="238">
        <f t="shared" si="31"/>
        <v>1703699.31</v>
      </c>
      <c r="H125" s="238">
        <v>15000</v>
      </c>
      <c r="I125" s="282"/>
      <c r="J125" s="238">
        <f t="shared" si="24"/>
        <v>325739.86200000002</v>
      </c>
      <c r="K125" s="238">
        <f t="shared" si="25"/>
        <v>9139.4077058823532</v>
      </c>
      <c r="L125" s="238">
        <f t="shared" si="26"/>
        <v>170369.93100000001</v>
      </c>
      <c r="M125" s="293">
        <f t="shared" si="27"/>
        <v>18096.659</v>
      </c>
      <c r="N125" s="282"/>
      <c r="O125" s="298">
        <f t="shared" si="28"/>
        <v>1362959.4480000001</v>
      </c>
      <c r="P125" s="238">
        <f t="shared" si="29"/>
        <v>17619.76543678634</v>
      </c>
      <c r="Q125" s="282"/>
      <c r="R125" s="238">
        <v>67505</v>
      </c>
    </row>
    <row r="126" spans="2:18">
      <c r="B126" s="357" t="s">
        <v>206</v>
      </c>
      <c r="C126" s="357">
        <v>23</v>
      </c>
      <c r="D126" s="215">
        <v>20</v>
      </c>
      <c r="E126" s="61">
        <f t="shared" si="30"/>
        <v>85184.965500000006</v>
      </c>
      <c r="F126" s="238">
        <f t="shared" si="31"/>
        <v>1703699.31</v>
      </c>
      <c r="H126" s="238">
        <v>15000</v>
      </c>
      <c r="I126" s="282"/>
      <c r="J126" s="238">
        <f t="shared" si="24"/>
        <v>325739.86200000002</v>
      </c>
      <c r="K126" s="238">
        <f t="shared" si="25"/>
        <v>9139.4077058823532</v>
      </c>
      <c r="L126" s="238">
        <f t="shared" si="26"/>
        <v>170369.93100000001</v>
      </c>
      <c r="M126" s="293">
        <f t="shared" si="27"/>
        <v>18096.659</v>
      </c>
      <c r="N126" s="282"/>
      <c r="O126" s="298">
        <f t="shared" si="28"/>
        <v>1362959.4480000001</v>
      </c>
      <c r="P126" s="238">
        <f t="shared" si="29"/>
        <v>17619.76543678634</v>
      </c>
      <c r="Q126" s="282"/>
      <c r="R126" s="238">
        <v>67505</v>
      </c>
    </row>
    <row r="127" spans="2:18">
      <c r="B127" s="357" t="s">
        <v>206</v>
      </c>
      <c r="C127" s="357">
        <v>24</v>
      </c>
      <c r="D127" s="215">
        <v>20</v>
      </c>
      <c r="E127" s="61">
        <f t="shared" si="30"/>
        <v>84649.21100000001</v>
      </c>
      <c r="F127" s="238">
        <f t="shared" si="31"/>
        <v>1692984.2200000002</v>
      </c>
      <c r="H127" s="238">
        <v>15000</v>
      </c>
      <c r="I127" s="282"/>
      <c r="J127" s="238">
        <f t="shared" si="24"/>
        <v>323596.84400000004</v>
      </c>
      <c r="K127" s="238">
        <f t="shared" si="25"/>
        <v>9076.3777647058832</v>
      </c>
      <c r="L127" s="238">
        <f t="shared" si="26"/>
        <v>169298.42200000002</v>
      </c>
      <c r="M127" s="293">
        <f t="shared" si="27"/>
        <v>17977.602444444448</v>
      </c>
      <c r="N127" s="282"/>
      <c r="O127" s="298">
        <f t="shared" si="28"/>
        <v>1354387.3760000002</v>
      </c>
      <c r="P127" s="238">
        <f t="shared" si="29"/>
        <v>17509.374633899497</v>
      </c>
      <c r="Q127" s="282"/>
      <c r="R127" s="238">
        <v>67157</v>
      </c>
    </row>
    <row r="128" spans="2:18">
      <c r="B128" s="357" t="s">
        <v>206</v>
      </c>
      <c r="C128" s="357">
        <v>25</v>
      </c>
      <c r="D128" s="215">
        <v>20</v>
      </c>
      <c r="E128" s="61">
        <f t="shared" si="30"/>
        <v>84649.21100000001</v>
      </c>
      <c r="F128" s="238">
        <f t="shared" si="31"/>
        <v>1692984.2200000002</v>
      </c>
      <c r="H128" s="238">
        <v>15000</v>
      </c>
      <c r="I128" s="282"/>
      <c r="J128" s="238">
        <f t="shared" si="24"/>
        <v>323596.84400000004</v>
      </c>
      <c r="K128" s="238">
        <f t="shared" si="25"/>
        <v>9076.3777647058832</v>
      </c>
      <c r="L128" s="238">
        <f t="shared" si="26"/>
        <v>169298.42200000002</v>
      </c>
      <c r="M128" s="293">
        <f t="shared" si="27"/>
        <v>17977.602444444448</v>
      </c>
      <c r="N128" s="282"/>
      <c r="O128" s="298">
        <f t="shared" si="28"/>
        <v>1354387.3760000002</v>
      </c>
      <c r="P128" s="238">
        <f t="shared" si="29"/>
        <v>17509.374633899497</v>
      </c>
      <c r="Q128" s="282"/>
      <c r="R128" s="238">
        <v>67157</v>
      </c>
    </row>
    <row r="129" spans="2:27">
      <c r="B129" s="357" t="s">
        <v>206</v>
      </c>
      <c r="C129" s="357">
        <v>26</v>
      </c>
      <c r="D129" s="215">
        <v>20</v>
      </c>
      <c r="E129" s="61">
        <f t="shared" si="30"/>
        <v>84113.456500000015</v>
      </c>
      <c r="F129" s="238">
        <f t="shared" si="31"/>
        <v>1682269.1300000004</v>
      </c>
      <c r="H129" s="238">
        <v>15000</v>
      </c>
      <c r="I129" s="282"/>
      <c r="J129" s="238">
        <f t="shared" si="24"/>
        <v>321453.82600000012</v>
      </c>
      <c r="K129" s="238">
        <f t="shared" si="25"/>
        <v>9013.3478235294151</v>
      </c>
      <c r="L129" s="238">
        <f t="shared" si="26"/>
        <v>168226.91300000006</v>
      </c>
      <c r="M129" s="293">
        <f t="shared" si="27"/>
        <v>17858.545888888897</v>
      </c>
      <c r="N129" s="282"/>
      <c r="O129" s="298">
        <f t="shared" si="28"/>
        <v>1345815.3040000005</v>
      </c>
      <c r="P129" s="238">
        <f t="shared" si="29"/>
        <v>17398.983831012654</v>
      </c>
      <c r="Q129" s="282"/>
      <c r="R129" s="238">
        <v>66809</v>
      </c>
    </row>
    <row r="130" spans="2:27">
      <c r="B130" s="357" t="s">
        <v>206</v>
      </c>
      <c r="C130" s="357">
        <v>27</v>
      </c>
      <c r="D130" s="215">
        <v>20</v>
      </c>
      <c r="E130" s="61">
        <f t="shared" si="30"/>
        <v>84113.456500000015</v>
      </c>
      <c r="F130" s="238">
        <f t="shared" si="31"/>
        <v>1682269.1300000004</v>
      </c>
      <c r="H130" s="238">
        <v>15000</v>
      </c>
      <c r="I130" s="282"/>
      <c r="J130" s="238">
        <f t="shared" si="24"/>
        <v>321453.82600000012</v>
      </c>
      <c r="K130" s="238">
        <f t="shared" si="25"/>
        <v>9013.3478235294151</v>
      </c>
      <c r="L130" s="238">
        <f t="shared" si="26"/>
        <v>168226.91300000006</v>
      </c>
      <c r="M130" s="293">
        <f t="shared" si="27"/>
        <v>17858.545888888897</v>
      </c>
      <c r="N130" s="282"/>
      <c r="O130" s="298">
        <f t="shared" si="28"/>
        <v>1345815.3040000005</v>
      </c>
      <c r="P130" s="238">
        <f t="shared" si="29"/>
        <v>17398.983831012654</v>
      </c>
      <c r="Q130" s="282"/>
      <c r="R130" s="238">
        <f>R129</f>
        <v>66809</v>
      </c>
    </row>
    <row r="131" spans="2:27" ht="12.75">
      <c r="B131" s="357" t="s">
        <v>206</v>
      </c>
      <c r="C131" s="357">
        <v>28</v>
      </c>
      <c r="D131" s="215">
        <v>20</v>
      </c>
      <c r="E131" s="61">
        <f t="shared" si="30"/>
        <v>84649.21100000001</v>
      </c>
      <c r="F131" s="238">
        <f t="shared" si="31"/>
        <v>1692984.2200000002</v>
      </c>
      <c r="H131" s="238">
        <v>15000</v>
      </c>
      <c r="I131" s="282"/>
      <c r="J131" s="238">
        <f t="shared" si="24"/>
        <v>323596.84400000004</v>
      </c>
      <c r="K131" s="238">
        <f t="shared" si="25"/>
        <v>9076.3777647058832</v>
      </c>
      <c r="L131" s="238">
        <f t="shared" si="26"/>
        <v>169298.42200000002</v>
      </c>
      <c r="M131" s="293">
        <f t="shared" si="27"/>
        <v>17977.602444444448</v>
      </c>
      <c r="N131" s="282"/>
      <c r="O131" s="298">
        <f t="shared" si="28"/>
        <v>1354387.3760000002</v>
      </c>
      <c r="P131" s="238">
        <f t="shared" si="29"/>
        <v>17509.374633899497</v>
      </c>
      <c r="Q131" s="282"/>
      <c r="R131" s="238">
        <f>R128</f>
        <v>67157</v>
      </c>
      <c r="T131" s="159"/>
      <c r="U131" s="160"/>
      <c r="V131" s="160"/>
      <c r="W131" s="160"/>
      <c r="X131" s="161"/>
      <c r="Y131" s="160"/>
      <c r="Z131" s="232" t="s">
        <v>366</v>
      </c>
      <c r="AA131" s="225"/>
    </row>
    <row r="132" spans="2:27" ht="12.75">
      <c r="B132" s="357" t="s">
        <v>206</v>
      </c>
      <c r="C132" s="357">
        <v>29</v>
      </c>
      <c r="D132" s="215">
        <v>20</v>
      </c>
      <c r="E132" s="61">
        <f t="shared" si="30"/>
        <v>84649.21100000001</v>
      </c>
      <c r="F132" s="238">
        <f t="shared" si="31"/>
        <v>1692984.2200000002</v>
      </c>
      <c r="H132" s="238">
        <v>15000</v>
      </c>
      <c r="I132" s="282"/>
      <c r="J132" s="238">
        <f t="shared" si="24"/>
        <v>323596.84400000004</v>
      </c>
      <c r="K132" s="238">
        <f t="shared" si="25"/>
        <v>9076.3777647058832</v>
      </c>
      <c r="L132" s="238">
        <f t="shared" si="26"/>
        <v>169298.42200000002</v>
      </c>
      <c r="M132" s="293">
        <f t="shared" si="27"/>
        <v>17977.602444444448</v>
      </c>
      <c r="N132" s="282"/>
      <c r="O132" s="298">
        <f t="shared" si="28"/>
        <v>1354387.3760000002</v>
      </c>
      <c r="P132" s="238">
        <f t="shared" si="29"/>
        <v>17509.374633899497</v>
      </c>
      <c r="Q132" s="282"/>
      <c r="R132" s="238">
        <f>R131</f>
        <v>67157</v>
      </c>
      <c r="T132" s="162" t="s">
        <v>250</v>
      </c>
      <c r="U132" s="163"/>
      <c r="V132" s="163"/>
      <c r="W132" s="163"/>
      <c r="X132" s="164"/>
      <c r="Y132" s="160"/>
      <c r="Z132" s="232"/>
      <c r="AA132" s="232"/>
    </row>
    <row r="133" spans="2:27" ht="12.75">
      <c r="B133" s="357" t="s">
        <v>206</v>
      </c>
      <c r="C133" s="357">
        <v>30</v>
      </c>
      <c r="D133" s="215">
        <v>20</v>
      </c>
      <c r="E133" s="61">
        <f t="shared" si="30"/>
        <v>85184.965500000006</v>
      </c>
      <c r="F133" s="238">
        <f t="shared" si="31"/>
        <v>1703699.31</v>
      </c>
      <c r="H133" s="238">
        <v>15000</v>
      </c>
      <c r="I133" s="282"/>
      <c r="J133" s="238">
        <f t="shared" si="24"/>
        <v>325739.86200000002</v>
      </c>
      <c r="K133" s="238">
        <f t="shared" si="25"/>
        <v>9139.4077058823532</v>
      </c>
      <c r="L133" s="238">
        <f t="shared" si="26"/>
        <v>170369.93100000001</v>
      </c>
      <c r="M133" s="293">
        <f t="shared" si="27"/>
        <v>18096.659</v>
      </c>
      <c r="N133" s="282"/>
      <c r="O133" s="298">
        <f t="shared" si="28"/>
        <v>1362959.4480000001</v>
      </c>
      <c r="P133" s="238">
        <f t="shared" si="29"/>
        <v>17619.76543678634</v>
      </c>
      <c r="Q133" s="282"/>
      <c r="R133" s="238">
        <v>67505</v>
      </c>
      <c r="T133" s="378" t="s">
        <v>251</v>
      </c>
      <c r="U133" s="378"/>
      <c r="V133" s="165" t="s">
        <v>252</v>
      </c>
      <c r="W133" s="165" t="s">
        <v>253</v>
      </c>
      <c r="X133" s="166" t="s">
        <v>254</v>
      </c>
      <c r="Y133" s="167"/>
      <c r="Z133" s="232" t="s">
        <v>305</v>
      </c>
      <c r="AA133" s="225">
        <f>F149</f>
        <v>1699091.8213000004</v>
      </c>
    </row>
    <row r="134" spans="2:27" ht="12.75">
      <c r="B134" s="357"/>
      <c r="C134" s="357"/>
      <c r="D134" s="215"/>
      <c r="E134" s="61">
        <f t="shared" si="30"/>
        <v>0</v>
      </c>
      <c r="F134" s="238">
        <f t="shared" si="31"/>
        <v>0</v>
      </c>
      <c r="H134" s="238"/>
      <c r="I134" s="282"/>
      <c r="J134" s="238">
        <f t="shared" si="24"/>
        <v>0</v>
      </c>
      <c r="K134" s="238">
        <f t="shared" si="25"/>
        <v>0</v>
      </c>
      <c r="L134" s="238">
        <f t="shared" si="26"/>
        <v>0</v>
      </c>
      <c r="M134" s="293">
        <f t="shared" si="27"/>
        <v>0</v>
      </c>
      <c r="N134" s="282"/>
      <c r="O134" s="298">
        <f t="shared" si="28"/>
        <v>0</v>
      </c>
      <c r="P134" s="238">
        <f t="shared" si="29"/>
        <v>0</v>
      </c>
      <c r="Q134" s="282"/>
      <c r="R134" s="238"/>
      <c r="T134" s="168" t="s">
        <v>255</v>
      </c>
      <c r="U134" s="168" t="s">
        <v>256</v>
      </c>
      <c r="V134" s="168" t="s">
        <v>257</v>
      </c>
      <c r="W134" s="168" t="s">
        <v>258</v>
      </c>
      <c r="X134" s="169" t="s">
        <v>259</v>
      </c>
      <c r="Y134" s="160"/>
      <c r="Z134" s="232"/>
      <c r="AA134" s="225">
        <f>AA133*0.015</f>
        <v>25486.377319500007</v>
      </c>
    </row>
    <row r="135" spans="2:27" ht="12.75">
      <c r="B135" s="357" t="s">
        <v>205</v>
      </c>
      <c r="C135" s="357">
        <v>1</v>
      </c>
      <c r="D135" s="215">
        <v>20</v>
      </c>
      <c r="E135" s="61">
        <f t="shared" si="30"/>
        <v>86577.927200000006</v>
      </c>
      <c r="F135" s="238">
        <f t="shared" si="31"/>
        <v>1731558.5440000002</v>
      </c>
      <c r="H135" s="238">
        <v>15000</v>
      </c>
      <c r="I135" s="282"/>
      <c r="J135" s="238">
        <f t="shared" si="24"/>
        <v>331311.70880000008</v>
      </c>
      <c r="K135" s="238">
        <f t="shared" si="25"/>
        <v>9303.285552941179</v>
      </c>
      <c r="L135" s="238">
        <f t="shared" si="26"/>
        <v>173155.85440000004</v>
      </c>
      <c r="M135" s="293">
        <f t="shared" si="27"/>
        <v>18406.206044444451</v>
      </c>
      <c r="N135" s="282"/>
      <c r="O135" s="298">
        <f t="shared" si="28"/>
        <v>1385246.8352000003</v>
      </c>
      <c r="P135" s="238">
        <f t="shared" si="29"/>
        <v>17906.78819095881</v>
      </c>
      <c r="Q135" s="282"/>
      <c r="R135" s="238">
        <v>68411</v>
      </c>
      <c r="T135" s="168" t="s">
        <v>260</v>
      </c>
      <c r="U135" s="168" t="s">
        <v>261</v>
      </c>
      <c r="V135" s="168" t="s">
        <v>257</v>
      </c>
      <c r="W135" s="168" t="s">
        <v>262</v>
      </c>
      <c r="X135" s="169">
        <v>115</v>
      </c>
      <c r="Y135" s="160"/>
      <c r="Z135" s="232"/>
      <c r="AA135" s="225">
        <f>X135</f>
        <v>115</v>
      </c>
    </row>
    <row r="136" spans="2:27" ht="12.75">
      <c r="B136" s="357" t="s">
        <v>205</v>
      </c>
      <c r="C136" s="357">
        <v>2</v>
      </c>
      <c r="D136" s="215">
        <v>20</v>
      </c>
      <c r="E136" s="61">
        <f t="shared" ref="E136:E164" si="32">E105*1.01</f>
        <v>85495.703110000017</v>
      </c>
      <c r="F136" s="238">
        <f t="shared" si="31"/>
        <v>1709914.0622000003</v>
      </c>
      <c r="H136" s="238">
        <v>15000</v>
      </c>
      <c r="I136" s="282"/>
      <c r="J136" s="238">
        <f t="shared" si="24"/>
        <v>326982.81244000007</v>
      </c>
      <c r="K136" s="238">
        <f t="shared" si="25"/>
        <v>9175.9650717647073</v>
      </c>
      <c r="L136" s="238">
        <f t="shared" si="26"/>
        <v>170991.40622000003</v>
      </c>
      <c r="M136" s="293">
        <f t="shared" si="27"/>
        <v>18165.711802222228</v>
      </c>
      <c r="N136" s="282"/>
      <c r="O136" s="298">
        <f t="shared" si="28"/>
        <v>1367931.2497600003</v>
      </c>
      <c r="P136" s="238">
        <f t="shared" si="29"/>
        <v>17683.792991349608</v>
      </c>
      <c r="Q136" s="282"/>
      <c r="R136" s="238">
        <v>67707</v>
      </c>
      <c r="T136" s="168" t="s">
        <v>263</v>
      </c>
      <c r="U136" s="168" t="s">
        <v>264</v>
      </c>
      <c r="V136" s="168" t="s">
        <v>265</v>
      </c>
      <c r="W136" s="168" t="str">
        <f>W134</f>
        <v>Fixed %</v>
      </c>
      <c r="X136" s="169" t="s">
        <v>266</v>
      </c>
      <c r="Y136" s="160"/>
      <c r="Z136" s="232"/>
      <c r="AA136" s="225">
        <f>AA133*0.0075</f>
        <v>12743.188659750003</v>
      </c>
    </row>
    <row r="137" spans="2:27" ht="12.75">
      <c r="B137" s="357" t="s">
        <v>205</v>
      </c>
      <c r="C137" s="357">
        <v>3</v>
      </c>
      <c r="D137" s="215">
        <v>20</v>
      </c>
      <c r="E137" s="61">
        <f t="shared" si="32"/>
        <v>85495.703110000017</v>
      </c>
      <c r="F137" s="238">
        <f t="shared" si="31"/>
        <v>1709914.0622000003</v>
      </c>
      <c r="H137" s="238">
        <v>15000</v>
      </c>
      <c r="I137" s="282"/>
      <c r="J137" s="238">
        <f t="shared" si="24"/>
        <v>326982.81244000007</v>
      </c>
      <c r="K137" s="238">
        <f t="shared" si="25"/>
        <v>9175.9650717647073</v>
      </c>
      <c r="L137" s="238">
        <f t="shared" si="26"/>
        <v>170991.40622000003</v>
      </c>
      <c r="M137" s="293">
        <f t="shared" si="27"/>
        <v>18165.711802222228</v>
      </c>
      <c r="N137" s="282"/>
      <c r="O137" s="298">
        <f t="shared" si="28"/>
        <v>1367931.2497600003</v>
      </c>
      <c r="P137" s="238">
        <f t="shared" si="29"/>
        <v>17683.792991349608</v>
      </c>
      <c r="Q137" s="282"/>
      <c r="R137" s="238">
        <v>67707</v>
      </c>
      <c r="T137" s="168" t="s">
        <v>267</v>
      </c>
      <c r="U137" s="168" t="s">
        <v>268</v>
      </c>
      <c r="V137" s="168" t="s">
        <v>269</v>
      </c>
      <c r="W137" s="168" t="str">
        <f>W135</f>
        <v>Fixed Amt.</v>
      </c>
      <c r="X137" s="169">
        <v>12000</v>
      </c>
      <c r="Y137" s="160"/>
      <c r="Z137" s="232"/>
      <c r="AA137" s="225">
        <f>X137</f>
        <v>12000</v>
      </c>
    </row>
    <row r="138" spans="2:27" ht="12.75">
      <c r="B138" s="357" t="s">
        <v>205</v>
      </c>
      <c r="C138" s="357">
        <v>4</v>
      </c>
      <c r="D138" s="215">
        <v>20</v>
      </c>
      <c r="E138" s="61">
        <f t="shared" si="32"/>
        <v>85495.703110000017</v>
      </c>
      <c r="F138" s="238">
        <f t="shared" si="31"/>
        <v>1709914.0622000003</v>
      </c>
      <c r="H138" s="238">
        <v>15000</v>
      </c>
      <c r="I138" s="282"/>
      <c r="J138" s="238">
        <f t="shared" si="24"/>
        <v>326982.81244000007</v>
      </c>
      <c r="K138" s="238">
        <f t="shared" si="25"/>
        <v>9175.9650717647073</v>
      </c>
      <c r="L138" s="238">
        <f t="shared" si="26"/>
        <v>170991.40622000003</v>
      </c>
      <c r="M138" s="293">
        <f t="shared" si="27"/>
        <v>18165.711802222228</v>
      </c>
      <c r="N138" s="282"/>
      <c r="O138" s="298">
        <f t="shared" si="28"/>
        <v>1367931.2497600003</v>
      </c>
      <c r="P138" s="238">
        <f t="shared" si="29"/>
        <v>17683.792991349608</v>
      </c>
      <c r="Q138" s="282"/>
      <c r="R138" s="238">
        <v>67707</v>
      </c>
      <c r="T138" s="168" t="s">
        <v>270</v>
      </c>
      <c r="U138" s="168" t="s">
        <v>256</v>
      </c>
      <c r="V138" s="168" t="s">
        <v>269</v>
      </c>
      <c r="W138" s="168" t="str">
        <f>W137</f>
        <v>Fixed Amt.</v>
      </c>
      <c r="X138" s="169">
        <v>20</v>
      </c>
      <c r="Y138" s="170"/>
      <c r="Z138" s="232"/>
      <c r="AA138" s="225">
        <f>X138</f>
        <v>20</v>
      </c>
    </row>
    <row r="139" spans="2:27" ht="12.75">
      <c r="B139" s="357" t="s">
        <v>205</v>
      </c>
      <c r="C139" s="357">
        <v>5</v>
      </c>
      <c r="D139" s="215">
        <v>20</v>
      </c>
      <c r="E139" s="61">
        <f t="shared" si="32"/>
        <v>86577.927200000006</v>
      </c>
      <c r="F139" s="238">
        <f t="shared" ref="F139:F164" si="33">D139*E139</f>
        <v>1731558.5440000002</v>
      </c>
      <c r="H139" s="238">
        <v>15000</v>
      </c>
      <c r="I139" s="282"/>
      <c r="J139" s="238">
        <f t="shared" si="24"/>
        <v>331311.70880000008</v>
      </c>
      <c r="K139" s="238">
        <f t="shared" si="25"/>
        <v>9303.285552941179</v>
      </c>
      <c r="L139" s="238">
        <f t="shared" si="26"/>
        <v>173155.85440000004</v>
      </c>
      <c r="M139" s="293">
        <f t="shared" si="27"/>
        <v>18406.206044444451</v>
      </c>
      <c r="N139" s="282"/>
      <c r="O139" s="298">
        <f t="shared" si="28"/>
        <v>1385246.8352000003</v>
      </c>
      <c r="P139" s="238">
        <f t="shared" si="29"/>
        <v>17906.78819095881</v>
      </c>
      <c r="Q139" s="282"/>
      <c r="R139" s="238">
        <v>68411</v>
      </c>
      <c r="T139" s="168" t="s">
        <v>271</v>
      </c>
      <c r="U139" s="168" t="s">
        <v>272</v>
      </c>
      <c r="V139" s="168"/>
      <c r="W139" s="168"/>
      <c r="X139" s="171" t="s">
        <v>273</v>
      </c>
      <c r="Y139" s="160"/>
      <c r="Z139" s="232"/>
      <c r="AA139" s="227">
        <f>AA133*0.01</f>
        <v>16990.918213000004</v>
      </c>
    </row>
    <row r="140" spans="2:27" ht="12.75" hidden="1">
      <c r="B140" s="372" t="s">
        <v>205</v>
      </c>
      <c r="C140" s="372">
        <v>6</v>
      </c>
      <c r="D140" s="215">
        <v>20</v>
      </c>
      <c r="E140" s="61">
        <f t="shared" si="32"/>
        <v>86577.927200000006</v>
      </c>
      <c r="F140" s="238">
        <f t="shared" si="33"/>
        <v>1731558.5440000002</v>
      </c>
      <c r="H140" s="238">
        <v>15000</v>
      </c>
      <c r="I140" s="282"/>
      <c r="J140" s="238">
        <f t="shared" si="24"/>
        <v>331311.70880000008</v>
      </c>
      <c r="K140" s="238">
        <f t="shared" si="25"/>
        <v>9303.285552941179</v>
      </c>
      <c r="L140" s="238">
        <f t="shared" si="26"/>
        <v>173155.85440000004</v>
      </c>
      <c r="M140" s="293">
        <f t="shared" si="27"/>
        <v>18406.206044444451</v>
      </c>
      <c r="N140" s="282"/>
      <c r="O140" s="298">
        <f t="shared" si="28"/>
        <v>1385246.8352000003</v>
      </c>
      <c r="P140" s="238">
        <f t="shared" si="29"/>
        <v>17906.78819095881</v>
      </c>
      <c r="Q140" s="282"/>
      <c r="R140" s="238">
        <v>68411</v>
      </c>
      <c r="T140" s="160"/>
      <c r="U140" s="160"/>
      <c r="V140" s="160"/>
      <c r="W140" s="160"/>
      <c r="X140" s="161"/>
      <c r="Y140" s="160"/>
      <c r="Z140" s="232"/>
      <c r="AA140" s="235">
        <f>SUM(AA134:AA139)</f>
        <v>67355.484192250005</v>
      </c>
    </row>
    <row r="141" spans="2:27">
      <c r="B141" s="357" t="s">
        <v>205</v>
      </c>
      <c r="C141" s="357">
        <v>7</v>
      </c>
      <c r="D141" s="215">
        <v>20</v>
      </c>
      <c r="E141" s="61">
        <f t="shared" si="32"/>
        <v>85495.703110000017</v>
      </c>
      <c r="F141" s="238">
        <f t="shared" si="33"/>
        <v>1709914.0622000003</v>
      </c>
      <c r="H141" s="238">
        <v>15000</v>
      </c>
      <c r="I141" s="282"/>
      <c r="J141" s="238">
        <f t="shared" si="24"/>
        <v>326982.81244000007</v>
      </c>
      <c r="K141" s="238">
        <f t="shared" si="25"/>
        <v>9175.9650717647073</v>
      </c>
      <c r="L141" s="238">
        <f t="shared" si="26"/>
        <v>170991.40622000003</v>
      </c>
      <c r="M141" s="293">
        <f t="shared" si="27"/>
        <v>18165.711802222228</v>
      </c>
      <c r="N141" s="282"/>
      <c r="O141" s="298">
        <f t="shared" si="28"/>
        <v>1367931.2497600003</v>
      </c>
      <c r="P141" s="238">
        <f t="shared" si="29"/>
        <v>17683.792991349608</v>
      </c>
      <c r="Q141" s="282"/>
      <c r="R141" s="238">
        <v>67707</v>
      </c>
    </row>
    <row r="142" spans="2:27">
      <c r="B142" s="357" t="s">
        <v>205</v>
      </c>
      <c r="C142" s="357">
        <v>8</v>
      </c>
      <c r="D142" s="215">
        <v>20</v>
      </c>
      <c r="E142" s="61">
        <f t="shared" si="32"/>
        <v>85495.703110000017</v>
      </c>
      <c r="F142" s="238">
        <f t="shared" si="33"/>
        <v>1709914.0622000003</v>
      </c>
      <c r="H142" s="238">
        <v>15000</v>
      </c>
      <c r="I142" s="282"/>
      <c r="J142" s="238">
        <f t="shared" si="24"/>
        <v>326982.81244000007</v>
      </c>
      <c r="K142" s="238">
        <f t="shared" si="25"/>
        <v>9175.9650717647073</v>
      </c>
      <c r="L142" s="238">
        <f t="shared" si="26"/>
        <v>170991.40622000003</v>
      </c>
      <c r="M142" s="293">
        <f t="shared" si="27"/>
        <v>18165.711802222228</v>
      </c>
      <c r="N142" s="282"/>
      <c r="O142" s="298">
        <f t="shared" si="28"/>
        <v>1367931.2497600003</v>
      </c>
      <c r="P142" s="238">
        <f t="shared" si="29"/>
        <v>17683.792991349608</v>
      </c>
      <c r="Q142" s="282"/>
      <c r="R142" s="238">
        <f>R141</f>
        <v>67707</v>
      </c>
    </row>
    <row r="143" spans="2:27">
      <c r="B143" s="357" t="s">
        <v>205</v>
      </c>
      <c r="C143" s="357">
        <v>9</v>
      </c>
      <c r="D143" s="215">
        <v>20</v>
      </c>
      <c r="E143" s="61">
        <f t="shared" si="32"/>
        <v>86036.815155000004</v>
      </c>
      <c r="F143" s="238">
        <f t="shared" si="33"/>
        <v>1720736.3031000001</v>
      </c>
      <c r="H143" s="238">
        <v>15000</v>
      </c>
      <c r="I143" s="282"/>
      <c r="J143" s="238">
        <f t="shared" si="24"/>
        <v>329147.26062000007</v>
      </c>
      <c r="K143" s="238">
        <f t="shared" si="25"/>
        <v>9239.6253123529441</v>
      </c>
      <c r="L143" s="238">
        <f t="shared" si="26"/>
        <v>172073.63031000004</v>
      </c>
      <c r="M143" s="293">
        <f t="shared" si="27"/>
        <v>18285.958923333339</v>
      </c>
      <c r="N143" s="282"/>
      <c r="O143" s="298">
        <f t="shared" si="28"/>
        <v>1376589.0424800003</v>
      </c>
      <c r="P143" s="238">
        <f t="shared" si="29"/>
        <v>17795.290591154208</v>
      </c>
      <c r="Q143" s="282"/>
      <c r="R143" s="238">
        <v>68059</v>
      </c>
    </row>
    <row r="144" spans="2:27">
      <c r="B144" s="357" t="s">
        <v>205</v>
      </c>
      <c r="C144" s="357">
        <v>10</v>
      </c>
      <c r="D144" s="215">
        <v>20</v>
      </c>
      <c r="E144" s="61">
        <f t="shared" si="32"/>
        <v>86036.815155000004</v>
      </c>
      <c r="F144" s="238">
        <f t="shared" si="33"/>
        <v>1720736.3031000001</v>
      </c>
      <c r="H144" s="238">
        <v>15000</v>
      </c>
      <c r="I144" s="282"/>
      <c r="J144" s="238">
        <f t="shared" si="24"/>
        <v>329147.26062000007</v>
      </c>
      <c r="K144" s="238">
        <f t="shared" si="25"/>
        <v>9239.6253123529441</v>
      </c>
      <c r="L144" s="238">
        <f t="shared" si="26"/>
        <v>172073.63031000004</v>
      </c>
      <c r="M144" s="293">
        <f t="shared" si="27"/>
        <v>18285.958923333339</v>
      </c>
      <c r="N144" s="282"/>
      <c r="O144" s="298">
        <f t="shared" si="28"/>
        <v>1376589.0424800003</v>
      </c>
      <c r="P144" s="238">
        <f t="shared" si="29"/>
        <v>17795.290591154208</v>
      </c>
      <c r="Q144" s="282"/>
      <c r="R144" s="238">
        <f>R143</f>
        <v>68059</v>
      </c>
    </row>
    <row r="145" spans="2:18">
      <c r="B145" s="357" t="s">
        <v>205</v>
      </c>
      <c r="C145" s="357">
        <v>11</v>
      </c>
      <c r="D145" s="215">
        <v>20</v>
      </c>
      <c r="E145" s="61">
        <f t="shared" si="32"/>
        <v>85495.703110000017</v>
      </c>
      <c r="F145" s="238">
        <f t="shared" si="33"/>
        <v>1709914.0622000003</v>
      </c>
      <c r="H145" s="238">
        <v>15000</v>
      </c>
      <c r="I145" s="282"/>
      <c r="J145" s="238">
        <f t="shared" si="24"/>
        <v>326982.81244000007</v>
      </c>
      <c r="K145" s="238">
        <f t="shared" si="25"/>
        <v>9175.9650717647073</v>
      </c>
      <c r="L145" s="238">
        <f t="shared" si="26"/>
        <v>170991.40622000003</v>
      </c>
      <c r="M145" s="293">
        <f t="shared" si="27"/>
        <v>18165.711802222228</v>
      </c>
      <c r="N145" s="282"/>
      <c r="O145" s="298">
        <f t="shared" si="28"/>
        <v>1367931.2497600003</v>
      </c>
      <c r="P145" s="238">
        <f t="shared" si="29"/>
        <v>17683.792991349608</v>
      </c>
      <c r="Q145" s="282"/>
      <c r="R145" s="238">
        <f>R136</f>
        <v>67707</v>
      </c>
    </row>
    <row r="146" spans="2:18">
      <c r="B146" s="357" t="s">
        <v>205</v>
      </c>
      <c r="C146" s="357">
        <v>12</v>
      </c>
      <c r="D146" s="215">
        <v>20</v>
      </c>
      <c r="E146" s="61">
        <f t="shared" si="32"/>
        <v>85495.703110000017</v>
      </c>
      <c r="F146" s="238">
        <f t="shared" si="33"/>
        <v>1709914.0622000003</v>
      </c>
      <c r="H146" s="238">
        <v>15000</v>
      </c>
      <c r="I146" s="282"/>
      <c r="J146" s="238">
        <f t="shared" si="24"/>
        <v>326982.81244000007</v>
      </c>
      <c r="K146" s="238">
        <f t="shared" si="25"/>
        <v>9175.9650717647073</v>
      </c>
      <c r="L146" s="238">
        <f t="shared" si="26"/>
        <v>170991.40622000003</v>
      </c>
      <c r="M146" s="293">
        <f t="shared" si="27"/>
        <v>18165.711802222228</v>
      </c>
      <c r="N146" s="282"/>
      <c r="O146" s="298">
        <f t="shared" si="28"/>
        <v>1367931.2497600003</v>
      </c>
      <c r="P146" s="238">
        <f t="shared" si="29"/>
        <v>17683.792991349608</v>
      </c>
      <c r="Q146" s="282"/>
      <c r="R146" s="238">
        <f>R145</f>
        <v>67707</v>
      </c>
    </row>
    <row r="147" spans="2:18" hidden="1">
      <c r="B147" s="372" t="s">
        <v>205</v>
      </c>
      <c r="C147" s="372">
        <v>13</v>
      </c>
      <c r="D147" s="215">
        <v>20</v>
      </c>
      <c r="E147" s="61">
        <f t="shared" si="32"/>
        <v>86577.927200000006</v>
      </c>
      <c r="F147" s="238">
        <f t="shared" si="33"/>
        <v>1731558.5440000002</v>
      </c>
      <c r="H147" s="238">
        <v>15000</v>
      </c>
      <c r="I147" s="282"/>
      <c r="J147" s="238">
        <f t="shared" si="24"/>
        <v>331311.70880000008</v>
      </c>
      <c r="K147" s="238">
        <f t="shared" si="25"/>
        <v>9303.285552941179</v>
      </c>
      <c r="L147" s="238">
        <f t="shared" si="26"/>
        <v>173155.85440000004</v>
      </c>
      <c r="M147" s="293">
        <f t="shared" si="27"/>
        <v>18406.206044444451</v>
      </c>
      <c r="N147" s="282"/>
      <c r="O147" s="298">
        <f t="shared" si="28"/>
        <v>1385246.8352000003</v>
      </c>
      <c r="P147" s="238">
        <f t="shared" si="29"/>
        <v>17526.7270798477</v>
      </c>
      <c r="Q147" s="282"/>
      <c r="R147" s="238"/>
    </row>
    <row r="148" spans="2:18">
      <c r="B148" s="357" t="s">
        <v>205</v>
      </c>
      <c r="C148" s="357">
        <v>14</v>
      </c>
      <c r="D148" s="215">
        <v>20</v>
      </c>
      <c r="E148" s="61">
        <f t="shared" si="32"/>
        <v>86036.815155000004</v>
      </c>
      <c r="F148" s="238">
        <f t="shared" si="33"/>
        <v>1720736.3031000001</v>
      </c>
      <c r="H148" s="238">
        <v>15000</v>
      </c>
      <c r="I148" s="282"/>
      <c r="J148" s="238">
        <f t="shared" si="24"/>
        <v>329147.26062000007</v>
      </c>
      <c r="K148" s="238">
        <f t="shared" si="25"/>
        <v>9239.6253123529441</v>
      </c>
      <c r="L148" s="238">
        <f t="shared" si="26"/>
        <v>172073.63031000004</v>
      </c>
      <c r="M148" s="293">
        <f t="shared" si="27"/>
        <v>18285.958923333339</v>
      </c>
      <c r="N148" s="282"/>
      <c r="O148" s="298">
        <f t="shared" si="28"/>
        <v>1376589.0424800003</v>
      </c>
      <c r="P148" s="238">
        <f t="shared" si="29"/>
        <v>17795.290591154208</v>
      </c>
      <c r="Q148" s="282"/>
      <c r="R148" s="238">
        <f>R144</f>
        <v>68059</v>
      </c>
    </row>
    <row r="149" spans="2:18">
      <c r="B149" s="357" t="s">
        <v>205</v>
      </c>
      <c r="C149" s="357">
        <v>15</v>
      </c>
      <c r="D149" s="215">
        <v>20</v>
      </c>
      <c r="E149" s="61">
        <f t="shared" si="32"/>
        <v>84954.591065000015</v>
      </c>
      <c r="F149" s="238">
        <f t="shared" si="33"/>
        <v>1699091.8213000004</v>
      </c>
      <c r="H149" s="238">
        <v>15000</v>
      </c>
      <c r="I149" s="282"/>
      <c r="J149" s="238">
        <f t="shared" si="24"/>
        <v>324818.36426000012</v>
      </c>
      <c r="K149" s="238">
        <f t="shared" si="25"/>
        <v>9112.3048311764742</v>
      </c>
      <c r="L149" s="238">
        <f t="shared" si="26"/>
        <v>169909.18213000006</v>
      </c>
      <c r="M149" s="293">
        <f t="shared" si="27"/>
        <v>18045.464681111116</v>
      </c>
      <c r="N149" s="282"/>
      <c r="O149" s="298">
        <f t="shared" si="28"/>
        <v>1359273.4570400005</v>
      </c>
      <c r="P149" s="238">
        <f t="shared" si="29"/>
        <v>17572.295391545005</v>
      </c>
      <c r="Q149" s="282"/>
      <c r="R149" s="238">
        <v>67355</v>
      </c>
    </row>
    <row r="150" spans="2:18">
      <c r="B150" s="357" t="s">
        <v>205</v>
      </c>
      <c r="C150" s="357">
        <v>16</v>
      </c>
      <c r="D150" s="215">
        <v>20</v>
      </c>
      <c r="E150" s="61">
        <f t="shared" si="32"/>
        <v>84954.591065000015</v>
      </c>
      <c r="F150" s="238">
        <f t="shared" si="33"/>
        <v>1699091.8213000004</v>
      </c>
      <c r="H150" s="238">
        <v>15000</v>
      </c>
      <c r="I150" s="282"/>
      <c r="J150" s="238">
        <f t="shared" si="24"/>
        <v>324818.36426000012</v>
      </c>
      <c r="K150" s="238">
        <f t="shared" si="25"/>
        <v>9112.3048311764742</v>
      </c>
      <c r="L150" s="238">
        <f t="shared" si="26"/>
        <v>169909.18213000006</v>
      </c>
      <c r="M150" s="293">
        <f t="shared" si="27"/>
        <v>18045.464681111116</v>
      </c>
      <c r="N150" s="282"/>
      <c r="O150" s="298">
        <f t="shared" si="28"/>
        <v>1359273.4570400005</v>
      </c>
      <c r="P150" s="238">
        <f t="shared" si="29"/>
        <v>17572.295391545005</v>
      </c>
      <c r="Q150" s="282"/>
      <c r="R150" s="238">
        <v>67355</v>
      </c>
    </row>
    <row r="151" spans="2:18">
      <c r="B151" s="357" t="s">
        <v>205</v>
      </c>
      <c r="C151" s="357">
        <v>17</v>
      </c>
      <c r="D151" s="215">
        <v>20</v>
      </c>
      <c r="E151" s="61">
        <f t="shared" si="32"/>
        <v>84954.591065000015</v>
      </c>
      <c r="F151" s="238">
        <f t="shared" si="33"/>
        <v>1699091.8213000004</v>
      </c>
      <c r="H151" s="238">
        <v>15000</v>
      </c>
      <c r="I151" s="282"/>
      <c r="J151" s="238">
        <f t="shared" si="24"/>
        <v>324818.36426000012</v>
      </c>
      <c r="K151" s="238">
        <f t="shared" si="25"/>
        <v>9112.3048311764742</v>
      </c>
      <c r="L151" s="238">
        <f t="shared" si="26"/>
        <v>169909.18213000006</v>
      </c>
      <c r="M151" s="293">
        <f t="shared" si="27"/>
        <v>18045.464681111116</v>
      </c>
      <c r="N151" s="282"/>
      <c r="O151" s="298">
        <f t="shared" si="28"/>
        <v>1359273.4570400005</v>
      </c>
      <c r="P151" s="238">
        <f t="shared" si="29"/>
        <v>17572.295391545005</v>
      </c>
      <c r="Q151" s="282"/>
      <c r="R151" s="238">
        <v>67355</v>
      </c>
    </row>
    <row r="152" spans="2:18">
      <c r="B152" s="357" t="s">
        <v>205</v>
      </c>
      <c r="C152" s="357">
        <v>18</v>
      </c>
      <c r="D152" s="215">
        <v>20</v>
      </c>
      <c r="E152" s="61">
        <f t="shared" si="32"/>
        <v>84954.591065000015</v>
      </c>
      <c r="F152" s="238">
        <f t="shared" si="33"/>
        <v>1699091.8213000004</v>
      </c>
      <c r="H152" s="238">
        <v>15000</v>
      </c>
      <c r="I152" s="282"/>
      <c r="J152" s="238">
        <f t="shared" si="24"/>
        <v>324818.36426000012</v>
      </c>
      <c r="K152" s="238">
        <f t="shared" si="25"/>
        <v>9112.3048311764742</v>
      </c>
      <c r="L152" s="238">
        <f t="shared" si="26"/>
        <v>169909.18213000006</v>
      </c>
      <c r="M152" s="293">
        <f t="shared" si="27"/>
        <v>18045.464681111116</v>
      </c>
      <c r="N152" s="282"/>
      <c r="O152" s="298">
        <f t="shared" si="28"/>
        <v>1359273.4570400005</v>
      </c>
      <c r="P152" s="238">
        <f t="shared" si="29"/>
        <v>17572.295391545005</v>
      </c>
      <c r="Q152" s="282"/>
      <c r="R152" s="238">
        <v>67355</v>
      </c>
    </row>
    <row r="153" spans="2:18">
      <c r="B153" s="357" t="s">
        <v>205</v>
      </c>
      <c r="C153" s="357">
        <v>19</v>
      </c>
      <c r="D153" s="215">
        <v>20</v>
      </c>
      <c r="E153" s="61">
        <f t="shared" si="32"/>
        <v>84954.591065000015</v>
      </c>
      <c r="F153" s="238">
        <f t="shared" si="33"/>
        <v>1699091.8213000004</v>
      </c>
      <c r="H153" s="238">
        <v>15000</v>
      </c>
      <c r="I153" s="282"/>
      <c r="J153" s="238">
        <f t="shared" si="24"/>
        <v>324818.36426000012</v>
      </c>
      <c r="K153" s="238">
        <f t="shared" si="25"/>
        <v>9112.3048311764742</v>
      </c>
      <c r="L153" s="238">
        <f t="shared" si="26"/>
        <v>169909.18213000006</v>
      </c>
      <c r="M153" s="293">
        <f t="shared" si="27"/>
        <v>18045.464681111116</v>
      </c>
      <c r="N153" s="282"/>
      <c r="O153" s="298">
        <f t="shared" si="28"/>
        <v>1359273.4570400005</v>
      </c>
      <c r="P153" s="238">
        <f t="shared" si="29"/>
        <v>17572.295391545005</v>
      </c>
      <c r="Q153" s="282"/>
      <c r="R153" s="238">
        <v>67355</v>
      </c>
    </row>
    <row r="154" spans="2:18">
      <c r="B154" s="357" t="s">
        <v>205</v>
      </c>
      <c r="C154" s="357">
        <v>20</v>
      </c>
      <c r="D154" s="215">
        <v>20</v>
      </c>
      <c r="E154" s="61">
        <f t="shared" si="32"/>
        <v>84954.591065000015</v>
      </c>
      <c r="F154" s="238">
        <f t="shared" si="33"/>
        <v>1699091.8213000004</v>
      </c>
      <c r="H154" s="238">
        <v>15000</v>
      </c>
      <c r="I154" s="282"/>
      <c r="J154" s="238">
        <f t="shared" si="24"/>
        <v>324818.36426000012</v>
      </c>
      <c r="K154" s="238">
        <f t="shared" si="25"/>
        <v>9112.3048311764742</v>
      </c>
      <c r="L154" s="238">
        <f t="shared" si="26"/>
        <v>169909.18213000006</v>
      </c>
      <c r="M154" s="293">
        <f t="shared" si="27"/>
        <v>18045.464681111116</v>
      </c>
      <c r="N154" s="282"/>
      <c r="O154" s="298">
        <f t="shared" si="28"/>
        <v>1359273.4570400005</v>
      </c>
      <c r="P154" s="238">
        <f t="shared" si="29"/>
        <v>17572.295391545005</v>
      </c>
      <c r="Q154" s="282"/>
      <c r="R154" s="238">
        <v>67355</v>
      </c>
    </row>
    <row r="155" spans="2:18">
      <c r="B155" s="357" t="s">
        <v>205</v>
      </c>
      <c r="C155" s="357">
        <v>21</v>
      </c>
      <c r="D155" s="215">
        <v>20</v>
      </c>
      <c r="E155" s="61">
        <f t="shared" si="32"/>
        <v>84954.591065000015</v>
      </c>
      <c r="F155" s="238">
        <f t="shared" si="33"/>
        <v>1699091.8213000004</v>
      </c>
      <c r="H155" s="238">
        <v>15000</v>
      </c>
      <c r="I155" s="282"/>
      <c r="J155" s="238">
        <f t="shared" si="24"/>
        <v>324818.36426000012</v>
      </c>
      <c r="K155" s="238">
        <f t="shared" si="25"/>
        <v>9112.3048311764742</v>
      </c>
      <c r="L155" s="238">
        <f t="shared" si="26"/>
        <v>169909.18213000006</v>
      </c>
      <c r="M155" s="293">
        <f t="shared" si="27"/>
        <v>18045.464681111116</v>
      </c>
      <c r="N155" s="282"/>
      <c r="O155" s="298">
        <f t="shared" si="28"/>
        <v>1359273.4570400005</v>
      </c>
      <c r="P155" s="238">
        <f t="shared" si="29"/>
        <v>17572.295391545005</v>
      </c>
      <c r="Q155" s="282"/>
      <c r="R155" s="238">
        <v>67355</v>
      </c>
    </row>
    <row r="156" spans="2:18">
      <c r="B156" s="357" t="s">
        <v>205</v>
      </c>
      <c r="C156" s="357">
        <v>22</v>
      </c>
      <c r="D156" s="215">
        <v>20</v>
      </c>
      <c r="E156" s="61">
        <f t="shared" si="32"/>
        <v>86036.815155000004</v>
      </c>
      <c r="F156" s="238">
        <f t="shared" si="33"/>
        <v>1720736.3031000001</v>
      </c>
      <c r="H156" s="238">
        <v>15000</v>
      </c>
      <c r="I156" s="282"/>
      <c r="J156" s="238">
        <f t="shared" si="24"/>
        <v>329147.26062000007</v>
      </c>
      <c r="K156" s="238">
        <f t="shared" si="25"/>
        <v>9239.6253123529441</v>
      </c>
      <c r="L156" s="238">
        <f t="shared" si="26"/>
        <v>172073.63031000004</v>
      </c>
      <c r="M156" s="293">
        <f t="shared" si="27"/>
        <v>18285.958923333339</v>
      </c>
      <c r="N156" s="282"/>
      <c r="O156" s="298">
        <f t="shared" si="28"/>
        <v>1376589.0424800003</v>
      </c>
      <c r="P156" s="238">
        <f t="shared" si="29"/>
        <v>17795.290591154208</v>
      </c>
      <c r="Q156" s="282"/>
      <c r="R156" s="238">
        <f>R144</f>
        <v>68059</v>
      </c>
    </row>
    <row r="157" spans="2:18">
      <c r="B157" s="357" t="s">
        <v>205</v>
      </c>
      <c r="C157" s="357">
        <v>23</v>
      </c>
      <c r="D157" s="215">
        <v>20</v>
      </c>
      <c r="E157" s="61">
        <f t="shared" si="32"/>
        <v>86036.815155000004</v>
      </c>
      <c r="F157" s="238">
        <f t="shared" si="33"/>
        <v>1720736.3031000001</v>
      </c>
      <c r="H157" s="238">
        <v>15000</v>
      </c>
      <c r="I157" s="282"/>
      <c r="J157" s="238">
        <f t="shared" si="24"/>
        <v>329147.26062000007</v>
      </c>
      <c r="K157" s="238">
        <f t="shared" si="25"/>
        <v>9239.6253123529441</v>
      </c>
      <c r="L157" s="238">
        <f t="shared" si="26"/>
        <v>172073.63031000004</v>
      </c>
      <c r="M157" s="293">
        <f t="shared" si="27"/>
        <v>18285.958923333339</v>
      </c>
      <c r="N157" s="282"/>
      <c r="O157" s="298">
        <f t="shared" si="28"/>
        <v>1376589.0424800003</v>
      </c>
      <c r="P157" s="238">
        <f t="shared" si="29"/>
        <v>17795.290591154208</v>
      </c>
      <c r="Q157" s="282"/>
      <c r="R157" s="238">
        <f>R156</f>
        <v>68059</v>
      </c>
    </row>
    <row r="158" spans="2:18">
      <c r="B158" s="357" t="s">
        <v>205</v>
      </c>
      <c r="C158" s="357">
        <v>24</v>
      </c>
      <c r="D158" s="215">
        <v>20</v>
      </c>
      <c r="E158" s="61">
        <f t="shared" si="32"/>
        <v>85495.703110000017</v>
      </c>
      <c r="F158" s="238">
        <f t="shared" si="33"/>
        <v>1709914.0622000003</v>
      </c>
      <c r="H158" s="238">
        <v>15000</v>
      </c>
      <c r="I158" s="282"/>
      <c r="J158" s="238">
        <f t="shared" si="24"/>
        <v>326982.81244000007</v>
      </c>
      <c r="K158" s="238">
        <f t="shared" si="25"/>
        <v>9175.9650717647073</v>
      </c>
      <c r="L158" s="238">
        <f t="shared" si="26"/>
        <v>170991.40622000003</v>
      </c>
      <c r="M158" s="293">
        <f t="shared" si="27"/>
        <v>18165.711802222228</v>
      </c>
      <c r="N158" s="282"/>
      <c r="O158" s="298">
        <f t="shared" si="28"/>
        <v>1367931.2497600003</v>
      </c>
      <c r="P158" s="238">
        <f t="shared" si="29"/>
        <v>17683.792991349608</v>
      </c>
      <c r="Q158" s="282"/>
      <c r="R158" s="238">
        <f>R146</f>
        <v>67707</v>
      </c>
    </row>
    <row r="159" spans="2:18">
      <c r="B159" s="357" t="s">
        <v>205</v>
      </c>
      <c r="C159" s="357">
        <v>25</v>
      </c>
      <c r="D159" s="215">
        <v>20</v>
      </c>
      <c r="E159" s="61">
        <f t="shared" si="32"/>
        <v>85495.703110000017</v>
      </c>
      <c r="F159" s="238">
        <f t="shared" si="33"/>
        <v>1709914.0622000003</v>
      </c>
      <c r="H159" s="238">
        <v>15000</v>
      </c>
      <c r="I159" s="282"/>
      <c r="J159" s="238">
        <f t="shared" si="24"/>
        <v>326982.81244000007</v>
      </c>
      <c r="K159" s="238">
        <f t="shared" si="25"/>
        <v>9175.9650717647073</v>
      </c>
      <c r="L159" s="238">
        <f t="shared" si="26"/>
        <v>170991.40622000003</v>
      </c>
      <c r="M159" s="293">
        <f t="shared" si="27"/>
        <v>18165.711802222228</v>
      </c>
      <c r="N159" s="282"/>
      <c r="O159" s="298">
        <f t="shared" si="28"/>
        <v>1367931.2497600003</v>
      </c>
      <c r="P159" s="238">
        <f t="shared" si="29"/>
        <v>17683.792991349608</v>
      </c>
      <c r="Q159" s="282"/>
      <c r="R159" s="238">
        <f>R158</f>
        <v>67707</v>
      </c>
    </row>
    <row r="160" spans="2:18">
      <c r="B160" s="357" t="s">
        <v>205</v>
      </c>
      <c r="C160" s="357">
        <v>26</v>
      </c>
      <c r="D160" s="215">
        <v>20</v>
      </c>
      <c r="E160" s="61">
        <f t="shared" si="32"/>
        <v>84954.591065000015</v>
      </c>
      <c r="F160" s="238">
        <f t="shared" si="33"/>
        <v>1699091.8213000004</v>
      </c>
      <c r="H160" s="238">
        <v>15000</v>
      </c>
      <c r="I160" s="282"/>
      <c r="J160" s="238">
        <f t="shared" ref="J160:J164" si="34">F160*0.2-H160</f>
        <v>324818.36426000012</v>
      </c>
      <c r="K160" s="238">
        <f t="shared" ref="K160:K164" si="35">(F160*0.1-H160)/17</f>
        <v>9112.3048311764742</v>
      </c>
      <c r="L160" s="238">
        <f t="shared" ref="L160:L164" si="36">F160*0.1</f>
        <v>169909.18213000006</v>
      </c>
      <c r="M160" s="293">
        <f t="shared" ref="M160:M164" si="37">J160/18</f>
        <v>18045.464681111116</v>
      </c>
      <c r="N160" s="282"/>
      <c r="O160" s="298">
        <f t="shared" ref="O160:O164" si="38">F160*0.8</f>
        <v>1359273.4570400005</v>
      </c>
      <c r="P160" s="238">
        <f t="shared" ref="P160:P164" si="39">PMT(13%/12,180,-O160)+R160/180</f>
        <v>17572.295391545005</v>
      </c>
      <c r="Q160" s="282"/>
      <c r="R160" s="238">
        <f>R152</f>
        <v>67355</v>
      </c>
    </row>
    <row r="161" spans="2:18">
      <c r="B161" s="357" t="s">
        <v>205</v>
      </c>
      <c r="C161" s="357">
        <v>27</v>
      </c>
      <c r="D161" s="215">
        <v>20</v>
      </c>
      <c r="E161" s="61">
        <f t="shared" si="32"/>
        <v>84954.591065000015</v>
      </c>
      <c r="F161" s="238">
        <f t="shared" si="33"/>
        <v>1699091.8213000004</v>
      </c>
      <c r="H161" s="238">
        <v>15000</v>
      </c>
      <c r="I161" s="282"/>
      <c r="J161" s="238">
        <f t="shared" si="34"/>
        <v>324818.36426000012</v>
      </c>
      <c r="K161" s="238">
        <f t="shared" si="35"/>
        <v>9112.3048311764742</v>
      </c>
      <c r="L161" s="238">
        <f t="shared" si="36"/>
        <v>169909.18213000006</v>
      </c>
      <c r="M161" s="293">
        <f t="shared" si="37"/>
        <v>18045.464681111116</v>
      </c>
      <c r="N161" s="282"/>
      <c r="O161" s="298">
        <f t="shared" si="38"/>
        <v>1359273.4570400005</v>
      </c>
      <c r="P161" s="238">
        <f t="shared" si="39"/>
        <v>17572.295391545005</v>
      </c>
      <c r="Q161" s="282"/>
      <c r="R161" s="238">
        <f>R160</f>
        <v>67355</v>
      </c>
    </row>
    <row r="162" spans="2:18">
      <c r="B162" s="357" t="s">
        <v>205</v>
      </c>
      <c r="C162" s="357">
        <v>28</v>
      </c>
      <c r="D162" s="215">
        <v>20</v>
      </c>
      <c r="E162" s="61">
        <f t="shared" si="32"/>
        <v>85495.703110000017</v>
      </c>
      <c r="F162" s="238">
        <f t="shared" si="33"/>
        <v>1709914.0622000003</v>
      </c>
      <c r="H162" s="238">
        <v>15000</v>
      </c>
      <c r="I162" s="282"/>
      <c r="J162" s="238">
        <f t="shared" si="34"/>
        <v>326982.81244000007</v>
      </c>
      <c r="K162" s="238">
        <f t="shared" si="35"/>
        <v>9175.9650717647073</v>
      </c>
      <c r="L162" s="238">
        <f t="shared" si="36"/>
        <v>170991.40622000003</v>
      </c>
      <c r="M162" s="293">
        <f t="shared" si="37"/>
        <v>18165.711802222228</v>
      </c>
      <c r="N162" s="282"/>
      <c r="O162" s="298">
        <f t="shared" si="38"/>
        <v>1367931.2497600003</v>
      </c>
      <c r="P162" s="238">
        <f t="shared" si="39"/>
        <v>17683.792991349608</v>
      </c>
      <c r="Q162" s="282"/>
      <c r="R162" s="238">
        <f>R159</f>
        <v>67707</v>
      </c>
    </row>
    <row r="163" spans="2:18">
      <c r="B163" s="357" t="s">
        <v>205</v>
      </c>
      <c r="C163" s="357">
        <v>29</v>
      </c>
      <c r="D163" s="215">
        <v>20</v>
      </c>
      <c r="E163" s="61">
        <f t="shared" si="32"/>
        <v>85495.703110000017</v>
      </c>
      <c r="F163" s="238">
        <f t="shared" si="33"/>
        <v>1709914.0622000003</v>
      </c>
      <c r="H163" s="238">
        <v>15000</v>
      </c>
      <c r="I163" s="282"/>
      <c r="J163" s="238">
        <f t="shared" si="34"/>
        <v>326982.81244000007</v>
      </c>
      <c r="K163" s="238">
        <f t="shared" si="35"/>
        <v>9175.9650717647073</v>
      </c>
      <c r="L163" s="238">
        <f t="shared" si="36"/>
        <v>170991.40622000003</v>
      </c>
      <c r="M163" s="293">
        <f t="shared" si="37"/>
        <v>18165.711802222228</v>
      </c>
      <c r="N163" s="282"/>
      <c r="O163" s="298">
        <f t="shared" si="38"/>
        <v>1367931.2497600003</v>
      </c>
      <c r="P163" s="238">
        <f t="shared" si="39"/>
        <v>17683.792991349608</v>
      </c>
      <c r="Q163" s="282"/>
      <c r="R163" s="238">
        <f>R162</f>
        <v>67707</v>
      </c>
    </row>
    <row r="164" spans="2:18">
      <c r="B164" s="354" t="s">
        <v>205</v>
      </c>
      <c r="C164" s="354">
        <v>30</v>
      </c>
      <c r="D164" s="215">
        <v>20</v>
      </c>
      <c r="E164" s="61">
        <f t="shared" si="32"/>
        <v>86036.815155000004</v>
      </c>
      <c r="F164" s="239">
        <f t="shared" si="33"/>
        <v>1720736.3031000001</v>
      </c>
      <c r="H164" s="239">
        <v>15000</v>
      </c>
      <c r="I164" s="282"/>
      <c r="J164" s="239">
        <f t="shared" si="34"/>
        <v>329147.26062000007</v>
      </c>
      <c r="K164" s="239">
        <f t="shared" si="35"/>
        <v>9239.6253123529441</v>
      </c>
      <c r="L164" s="239">
        <f t="shared" si="36"/>
        <v>172073.63031000004</v>
      </c>
      <c r="M164" s="291">
        <f t="shared" si="37"/>
        <v>18285.958923333339</v>
      </c>
      <c r="N164" s="282"/>
      <c r="O164" s="299">
        <f t="shared" si="38"/>
        <v>1376589.0424800003</v>
      </c>
      <c r="P164" s="239">
        <f t="shared" si="39"/>
        <v>17795.290591154208</v>
      </c>
      <c r="Q164" s="282"/>
      <c r="R164" s="239">
        <f>R157</f>
        <v>68059</v>
      </c>
    </row>
    <row r="165" spans="2:18">
      <c r="L165" s="82">
        <f t="shared" ref="L165" si="40">F165*0.1</f>
        <v>0</v>
      </c>
      <c r="O165" s="82">
        <f t="shared" ref="O165" si="41">F165*0.8</f>
        <v>0</v>
      </c>
      <c r="P165" s="82">
        <f t="shared" ref="P165" si="42">PMT(14%/12,120,-O165)+R165/120</f>
        <v>0</v>
      </c>
      <c r="R165" s="82">
        <f t="shared" ref="R165" si="43">F165*0.05</f>
        <v>0</v>
      </c>
    </row>
    <row r="166" spans="2:18" ht="11.25" customHeight="1">
      <c r="B166" s="468"/>
      <c r="C166" s="468"/>
      <c r="D166" s="468"/>
      <c r="E166" s="468"/>
      <c r="F166" s="468"/>
      <c r="G166" s="468"/>
      <c r="H166" s="468"/>
      <c r="I166" s="468"/>
      <c r="J166" s="468"/>
    </row>
    <row r="168" spans="2:18">
      <c r="D168" s="68"/>
    </row>
  </sheetData>
  <mergeCells count="22">
    <mergeCell ref="D7:D10"/>
    <mergeCell ref="E7:E10"/>
    <mergeCell ref="B1:G1"/>
    <mergeCell ref="B2:F2"/>
    <mergeCell ref="B3:F3"/>
    <mergeCell ref="B4:F4"/>
    <mergeCell ref="T133:U133"/>
    <mergeCell ref="B166:J166"/>
    <mergeCell ref="R7:R10"/>
    <mergeCell ref="J8:J10"/>
    <mergeCell ref="O8:O10"/>
    <mergeCell ref="P8:P10"/>
    <mergeCell ref="M9:M10"/>
    <mergeCell ref="L9:L10"/>
    <mergeCell ref="H7:H10"/>
    <mergeCell ref="J7:M7"/>
    <mergeCell ref="O7:P7"/>
    <mergeCell ref="F7:F10"/>
    <mergeCell ref="K8:L8"/>
    <mergeCell ref="K9:K10"/>
    <mergeCell ref="B7:B10"/>
    <mergeCell ref="C7:C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-0.499984740745262"/>
  </sheetPr>
  <dimension ref="B1:W34"/>
  <sheetViews>
    <sheetView zoomScale="90" zoomScaleNormal="90" workbookViewId="0">
      <selection activeCell="H30" sqref="H30"/>
    </sheetView>
  </sheetViews>
  <sheetFormatPr defaultRowHeight="12"/>
  <cols>
    <col min="1" max="1" width="9.140625" style="28"/>
    <col min="2" max="2" width="13.42578125" style="338" customWidth="1"/>
    <col min="3" max="3" width="12.140625" style="33" customWidth="1"/>
    <col min="4" max="4" width="2.28515625" style="33" customWidth="1"/>
    <col min="5" max="5" width="8.28515625" style="33" customWidth="1"/>
    <col min="6" max="6" width="1" style="28" customWidth="1"/>
    <col min="7" max="7" width="10" style="33" customWidth="1"/>
    <col min="8" max="8" width="10.85546875" style="33" customWidth="1"/>
    <col min="9" max="9" width="12.7109375" style="30" customWidth="1"/>
    <col min="10" max="10" width="2.42578125" style="28" customWidth="1"/>
    <col min="11" max="11" width="11.5703125" style="33" customWidth="1"/>
    <col min="12" max="12" width="12.28515625" style="33" customWidth="1"/>
    <col min="13" max="13" width="0.85546875" style="28" customWidth="1"/>
    <col min="14" max="14" width="16" style="28" customWidth="1"/>
    <col min="15" max="15" width="9.140625" style="28"/>
    <col min="16" max="22" width="0" style="28" hidden="1" customWidth="1"/>
    <col min="23" max="23" width="11.140625" style="28" hidden="1" customWidth="1"/>
    <col min="24" max="16384" width="9.140625" style="28"/>
  </cols>
  <sheetData>
    <row r="1" spans="2:23" s="40" customFormat="1">
      <c r="B1" s="437"/>
      <c r="C1" s="437"/>
      <c r="D1" s="437"/>
      <c r="E1" s="437"/>
      <c r="F1" s="437"/>
      <c r="G1" s="437"/>
      <c r="H1" s="39"/>
      <c r="I1" s="38"/>
      <c r="J1" s="39"/>
      <c r="K1" s="39"/>
      <c r="L1" s="39"/>
      <c r="M1" s="39"/>
      <c r="N1" s="41"/>
    </row>
    <row r="2" spans="2:23" s="40" customFormat="1">
      <c r="B2" s="437" t="s">
        <v>344</v>
      </c>
      <c r="C2" s="437"/>
      <c r="D2" s="437"/>
      <c r="E2" s="437"/>
      <c r="F2" s="437"/>
      <c r="G2" s="37"/>
      <c r="H2" s="39"/>
      <c r="I2" s="38"/>
      <c r="J2" s="39"/>
      <c r="K2" s="39"/>
      <c r="L2" s="39"/>
      <c r="M2" s="39"/>
      <c r="N2" s="41"/>
    </row>
    <row r="3" spans="2:23" s="40" customFormat="1">
      <c r="B3" s="437" t="s">
        <v>228</v>
      </c>
      <c r="C3" s="437"/>
      <c r="D3" s="437"/>
      <c r="E3" s="437"/>
      <c r="F3" s="437"/>
      <c r="G3" s="437"/>
      <c r="H3" s="39"/>
      <c r="I3" s="38"/>
      <c r="J3" s="39"/>
      <c r="K3" s="39"/>
      <c r="L3" s="39"/>
      <c r="M3" s="39"/>
      <c r="N3" s="41"/>
    </row>
    <row r="4" spans="2:23" s="40" customFormat="1">
      <c r="B4" s="437" t="s">
        <v>345</v>
      </c>
      <c r="C4" s="437"/>
      <c r="D4" s="437"/>
      <c r="E4" s="437"/>
      <c r="F4" s="437"/>
      <c r="G4" s="437"/>
      <c r="H4" s="39"/>
      <c r="I4" s="38"/>
      <c r="J4" s="39"/>
      <c r="K4" s="39"/>
      <c r="L4" s="39"/>
      <c r="M4" s="39"/>
      <c r="N4" s="41"/>
    </row>
    <row r="5" spans="2:23">
      <c r="B5" s="472" t="s">
        <v>365</v>
      </c>
      <c r="C5" s="472"/>
      <c r="D5" s="472"/>
      <c r="E5" s="472"/>
      <c r="F5" s="472"/>
      <c r="G5" s="472"/>
    </row>
    <row r="6" spans="2:23">
      <c r="C6" s="284"/>
      <c r="D6" s="284"/>
    </row>
    <row r="8" spans="2:23" ht="12.75" customHeight="1">
      <c r="B8" s="438" t="s">
        <v>221</v>
      </c>
      <c r="C8" s="439" t="s">
        <v>135</v>
      </c>
      <c r="D8" s="43"/>
      <c r="E8" s="425" t="s">
        <v>5</v>
      </c>
      <c r="F8" s="63"/>
      <c r="G8" s="425" t="s">
        <v>314</v>
      </c>
      <c r="H8" s="425"/>
      <c r="I8" s="425"/>
      <c r="J8" s="221"/>
      <c r="K8" s="466" t="s">
        <v>315</v>
      </c>
      <c r="L8" s="467"/>
      <c r="M8" s="221"/>
      <c r="N8" s="473" t="s">
        <v>306</v>
      </c>
    </row>
    <row r="9" spans="2:23" ht="12.75">
      <c r="B9" s="438"/>
      <c r="C9" s="439"/>
      <c r="D9" s="43"/>
      <c r="E9" s="425"/>
      <c r="F9" s="63"/>
      <c r="G9" s="425" t="s">
        <v>347</v>
      </c>
      <c r="H9" s="341">
        <v>1</v>
      </c>
      <c r="I9" s="339">
        <v>2</v>
      </c>
      <c r="J9" s="221"/>
      <c r="K9" s="426" t="s">
        <v>350</v>
      </c>
      <c r="L9" s="441" t="s">
        <v>229</v>
      </c>
      <c r="M9" s="221"/>
      <c r="N9" s="474"/>
      <c r="P9" s="162" t="s">
        <v>250</v>
      </c>
      <c r="Q9" s="163"/>
      <c r="R9" s="163"/>
      <c r="S9" s="163"/>
      <c r="T9" s="164"/>
      <c r="U9" s="160"/>
      <c r="V9" s="232"/>
      <c r="W9" s="232"/>
    </row>
    <row r="10" spans="2:23" ht="12.75" customHeight="1">
      <c r="B10" s="438"/>
      <c r="C10" s="439"/>
      <c r="D10" s="43"/>
      <c r="E10" s="425"/>
      <c r="F10" s="63"/>
      <c r="G10" s="425"/>
      <c r="H10" s="441" t="s">
        <v>348</v>
      </c>
      <c r="I10" s="478" t="s">
        <v>349</v>
      </c>
      <c r="J10" s="215"/>
      <c r="K10" s="476"/>
      <c r="L10" s="443"/>
      <c r="M10" s="215"/>
      <c r="N10" s="474"/>
      <c r="P10" s="378" t="s">
        <v>251</v>
      </c>
      <c r="Q10" s="378"/>
      <c r="R10" s="165" t="s">
        <v>252</v>
      </c>
      <c r="S10" s="165" t="s">
        <v>253</v>
      </c>
      <c r="T10" s="166" t="s">
        <v>254</v>
      </c>
      <c r="U10" s="167"/>
      <c r="V10" s="232" t="s">
        <v>305</v>
      </c>
      <c r="W10" s="225">
        <f>C27</f>
        <v>1370500</v>
      </c>
    </row>
    <row r="11" spans="2:23" ht="28.5" customHeight="1">
      <c r="B11" s="438"/>
      <c r="C11" s="439"/>
      <c r="D11" s="43"/>
      <c r="E11" s="425"/>
      <c r="F11" s="63"/>
      <c r="G11" s="425"/>
      <c r="H11" s="442"/>
      <c r="I11" s="479"/>
      <c r="K11" s="477"/>
      <c r="L11" s="442"/>
      <c r="N11" s="475"/>
      <c r="P11" s="342" t="s">
        <v>255</v>
      </c>
      <c r="Q11" s="342" t="s">
        <v>256</v>
      </c>
      <c r="R11" s="342" t="s">
        <v>257</v>
      </c>
      <c r="S11" s="342" t="s">
        <v>258</v>
      </c>
      <c r="T11" s="343" t="s">
        <v>259</v>
      </c>
      <c r="U11" s="160"/>
      <c r="V11" s="232"/>
      <c r="W11" s="225">
        <f>W10*0.015</f>
        <v>20557.5</v>
      </c>
    </row>
    <row r="12" spans="2:23" s="62" customFormat="1" ht="12.75">
      <c r="B12" s="151"/>
      <c r="C12" s="158"/>
      <c r="D12" s="43"/>
      <c r="E12" s="348"/>
      <c r="F12" s="63"/>
      <c r="G12" s="349"/>
      <c r="H12" s="152"/>
      <c r="I12" s="350"/>
      <c r="K12" s="348"/>
      <c r="L12" s="152"/>
      <c r="N12" s="353"/>
      <c r="P12" s="163" t="s">
        <v>260</v>
      </c>
      <c r="Q12" s="163" t="s">
        <v>261</v>
      </c>
      <c r="R12" s="163" t="s">
        <v>257</v>
      </c>
      <c r="S12" s="163" t="s">
        <v>262</v>
      </c>
      <c r="T12" s="164">
        <v>115</v>
      </c>
      <c r="U12" s="163"/>
      <c r="V12" s="344"/>
      <c r="W12" s="231">
        <f>T12</f>
        <v>115</v>
      </c>
    </row>
    <row r="13" spans="2:23" s="62" customFormat="1" ht="12.75" customHeight="1">
      <c r="B13" s="224" t="s">
        <v>336</v>
      </c>
      <c r="C13" s="205">
        <v>1181250</v>
      </c>
      <c r="D13" s="61"/>
      <c r="E13" s="205">
        <v>15000</v>
      </c>
      <c r="G13" s="208">
        <f>C13*0.1-E13</f>
        <v>103125</v>
      </c>
      <c r="H13" s="205">
        <f>G13/3</f>
        <v>34375</v>
      </c>
      <c r="I13" s="351">
        <f>C13*0.1*0.96-E13</f>
        <v>98400</v>
      </c>
      <c r="K13" s="205">
        <f>C13*0.9</f>
        <v>1063125</v>
      </c>
      <c r="L13" s="272">
        <f>PMT(13%/12,180,-K13)+(N13/180)</f>
        <v>13731.805790884455</v>
      </c>
      <c r="N13" s="205">
        <v>50526</v>
      </c>
      <c r="P13" s="163" t="s">
        <v>263</v>
      </c>
      <c r="Q13" s="163" t="s">
        <v>264</v>
      </c>
      <c r="R13" s="163" t="s">
        <v>265</v>
      </c>
      <c r="S13" s="163" t="str">
        <f>S11</f>
        <v>Fixed %</v>
      </c>
      <c r="T13" s="164" t="s">
        <v>266</v>
      </c>
      <c r="U13" s="163"/>
      <c r="V13" s="344"/>
      <c r="W13" s="231">
        <f>W10*0.0075</f>
        <v>10278.75</v>
      </c>
    </row>
    <row r="14" spans="2:23" s="62" customFormat="1" ht="12.75">
      <c r="B14" s="224" t="s">
        <v>337</v>
      </c>
      <c r="C14" s="205">
        <v>1125000</v>
      </c>
      <c r="D14" s="61"/>
      <c r="E14" s="205">
        <v>15000</v>
      </c>
      <c r="G14" s="208">
        <f t="shared" ref="G14:G27" si="0">C14*0.1-E14</f>
        <v>97500</v>
      </c>
      <c r="H14" s="205">
        <f t="shared" ref="H14:H27" si="1">G14/3</f>
        <v>32500</v>
      </c>
      <c r="I14" s="351">
        <f t="shared" ref="I14:I27" si="2">C14*0.1*0.96-E14</f>
        <v>93000</v>
      </c>
      <c r="K14" s="205">
        <f t="shared" ref="K14:K27" si="3">C14*0.9</f>
        <v>1012500</v>
      </c>
      <c r="L14" s="272">
        <f t="shared" ref="L14:L27" si="4">PMT(13%/12,180,-K14)+(N14/180)</f>
        <v>13081.121388143923</v>
      </c>
      <c r="N14" s="205">
        <v>48698</v>
      </c>
      <c r="P14" s="163" t="s">
        <v>267</v>
      </c>
      <c r="Q14" s="163" t="s">
        <v>268</v>
      </c>
      <c r="R14" s="163" t="s">
        <v>269</v>
      </c>
      <c r="S14" s="163" t="str">
        <f>S12</f>
        <v>Fixed Amt.</v>
      </c>
      <c r="T14" s="164">
        <v>12000</v>
      </c>
      <c r="U14" s="163"/>
      <c r="V14" s="344"/>
      <c r="W14" s="231">
        <f>T14</f>
        <v>12000</v>
      </c>
    </row>
    <row r="15" spans="2:23" s="62" customFormat="1" ht="12.75" customHeight="1">
      <c r="B15" s="224" t="s">
        <v>335</v>
      </c>
      <c r="C15" s="205">
        <v>1095000</v>
      </c>
      <c r="D15" s="61"/>
      <c r="E15" s="205">
        <v>15000</v>
      </c>
      <c r="G15" s="208">
        <f t="shared" si="0"/>
        <v>94500</v>
      </c>
      <c r="H15" s="205">
        <f t="shared" si="1"/>
        <v>31500</v>
      </c>
      <c r="I15" s="351">
        <f t="shared" si="2"/>
        <v>90120</v>
      </c>
      <c r="K15" s="205">
        <f t="shared" si="3"/>
        <v>985500</v>
      </c>
      <c r="L15" s="272">
        <f t="shared" si="4"/>
        <v>12734.089336311938</v>
      </c>
      <c r="N15" s="205">
        <v>47723</v>
      </c>
      <c r="P15" s="163" t="s">
        <v>270</v>
      </c>
      <c r="Q15" s="163" t="s">
        <v>256</v>
      </c>
      <c r="R15" s="163" t="s">
        <v>269</v>
      </c>
      <c r="S15" s="163" t="str">
        <f>S14</f>
        <v>Fixed Amt.</v>
      </c>
      <c r="T15" s="164">
        <v>20</v>
      </c>
      <c r="U15" s="337"/>
      <c r="V15" s="344"/>
      <c r="W15" s="231">
        <f>T15</f>
        <v>20</v>
      </c>
    </row>
    <row r="16" spans="2:23" s="62" customFormat="1" ht="12.75">
      <c r="B16" s="346" t="s">
        <v>333</v>
      </c>
      <c r="C16" s="205">
        <v>1252500</v>
      </c>
      <c r="D16" s="61"/>
      <c r="E16" s="205">
        <v>15000</v>
      </c>
      <c r="G16" s="208">
        <f t="shared" si="0"/>
        <v>110250</v>
      </c>
      <c r="H16" s="205">
        <f t="shared" si="1"/>
        <v>36750</v>
      </c>
      <c r="I16" s="351">
        <f t="shared" si="2"/>
        <v>105240</v>
      </c>
      <c r="K16" s="205">
        <f t="shared" si="3"/>
        <v>1127250</v>
      </c>
      <c r="L16" s="272">
        <f t="shared" si="4"/>
        <v>14556.003441763201</v>
      </c>
      <c r="N16" s="205">
        <v>52841</v>
      </c>
      <c r="P16" s="163" t="s">
        <v>271</v>
      </c>
      <c r="Q16" s="163" t="s">
        <v>272</v>
      </c>
      <c r="R16" s="163"/>
      <c r="S16" s="163"/>
      <c r="T16" s="345" t="s">
        <v>273</v>
      </c>
      <c r="U16" s="163"/>
      <c r="V16" s="344"/>
      <c r="W16" s="231">
        <f>W10*0.01</f>
        <v>13705</v>
      </c>
    </row>
    <row r="17" spans="2:23" s="62" customFormat="1" ht="12.75" customHeight="1">
      <c r="B17" s="346" t="s">
        <v>334</v>
      </c>
      <c r="C17" s="205">
        <v>1125000</v>
      </c>
      <c r="D17" s="61"/>
      <c r="E17" s="205">
        <v>15000</v>
      </c>
      <c r="G17" s="208">
        <f t="shared" si="0"/>
        <v>97500</v>
      </c>
      <c r="H17" s="205">
        <f t="shared" si="1"/>
        <v>32500</v>
      </c>
      <c r="I17" s="351">
        <f t="shared" si="2"/>
        <v>93000</v>
      </c>
      <c r="K17" s="205">
        <f t="shared" si="3"/>
        <v>1012500</v>
      </c>
      <c r="L17" s="272">
        <f t="shared" si="4"/>
        <v>13081.121388143923</v>
      </c>
      <c r="N17" s="205">
        <v>48698</v>
      </c>
      <c r="P17" s="163"/>
      <c r="Q17" s="163"/>
      <c r="R17" s="163"/>
      <c r="S17" s="163"/>
      <c r="T17" s="164"/>
      <c r="U17" s="163"/>
      <c r="V17" s="344"/>
      <c r="W17" s="231">
        <f>SUM(W11:W16)</f>
        <v>56676.25</v>
      </c>
    </row>
    <row r="18" spans="2:23" s="62" customFormat="1">
      <c r="B18" s="224" t="s">
        <v>340</v>
      </c>
      <c r="C18" s="205">
        <v>1212750</v>
      </c>
      <c r="D18" s="61"/>
      <c r="E18" s="205">
        <v>15000</v>
      </c>
      <c r="G18" s="208">
        <f t="shared" si="0"/>
        <v>106275</v>
      </c>
      <c r="H18" s="205">
        <f t="shared" si="1"/>
        <v>35425</v>
      </c>
      <c r="I18" s="351">
        <f t="shared" si="2"/>
        <v>101424</v>
      </c>
      <c r="K18" s="205">
        <f t="shared" si="3"/>
        <v>1091475</v>
      </c>
      <c r="L18" s="272">
        <f t="shared" si="4"/>
        <v>14096.185278641371</v>
      </c>
      <c r="N18" s="205">
        <v>51549</v>
      </c>
    </row>
    <row r="19" spans="2:23" s="62" customFormat="1" ht="12.75" customHeight="1">
      <c r="B19" s="224" t="s">
        <v>341</v>
      </c>
      <c r="C19" s="205">
        <v>1212750</v>
      </c>
      <c r="D19" s="61"/>
      <c r="E19" s="205">
        <v>15000</v>
      </c>
      <c r="G19" s="208">
        <f t="shared" si="0"/>
        <v>106275</v>
      </c>
      <c r="H19" s="205">
        <f t="shared" si="1"/>
        <v>35425</v>
      </c>
      <c r="I19" s="351">
        <f t="shared" si="2"/>
        <v>101424</v>
      </c>
      <c r="K19" s="205">
        <f t="shared" si="3"/>
        <v>1091475</v>
      </c>
      <c r="L19" s="272">
        <f t="shared" si="4"/>
        <v>14096.185278641371</v>
      </c>
      <c r="N19" s="205">
        <v>51549</v>
      </c>
    </row>
    <row r="20" spans="2:23" s="62" customFormat="1">
      <c r="B20" s="224" t="s">
        <v>342</v>
      </c>
      <c r="C20" s="205">
        <v>1212750</v>
      </c>
      <c r="D20" s="61"/>
      <c r="E20" s="205">
        <v>15000</v>
      </c>
      <c r="G20" s="208">
        <f t="shared" si="0"/>
        <v>106275</v>
      </c>
      <c r="H20" s="205">
        <f t="shared" si="1"/>
        <v>35425</v>
      </c>
      <c r="I20" s="351">
        <f t="shared" si="2"/>
        <v>101424</v>
      </c>
      <c r="K20" s="205">
        <f t="shared" si="3"/>
        <v>1091475</v>
      </c>
      <c r="L20" s="272">
        <f t="shared" si="4"/>
        <v>14096.185278641371</v>
      </c>
      <c r="N20" s="205">
        <v>51549</v>
      </c>
    </row>
    <row r="21" spans="2:23" s="62" customFormat="1" ht="12.75" customHeight="1">
      <c r="B21" s="224" t="s">
        <v>338</v>
      </c>
      <c r="C21" s="205">
        <v>1212750</v>
      </c>
      <c r="D21" s="61"/>
      <c r="E21" s="205">
        <v>15000</v>
      </c>
      <c r="G21" s="208">
        <f t="shared" si="0"/>
        <v>106275</v>
      </c>
      <c r="H21" s="205">
        <f t="shared" si="1"/>
        <v>35425</v>
      </c>
      <c r="I21" s="351">
        <f t="shared" si="2"/>
        <v>101424</v>
      </c>
      <c r="K21" s="205">
        <f t="shared" si="3"/>
        <v>1091475</v>
      </c>
      <c r="L21" s="272">
        <f t="shared" si="4"/>
        <v>14096.185278641371</v>
      </c>
      <c r="N21" s="205">
        <v>51549</v>
      </c>
    </row>
    <row r="22" spans="2:23" s="62" customFormat="1">
      <c r="B22" s="346" t="s">
        <v>339</v>
      </c>
      <c r="C22" s="205">
        <v>1212750</v>
      </c>
      <c r="D22" s="61"/>
      <c r="E22" s="205">
        <v>15000</v>
      </c>
      <c r="G22" s="208">
        <f t="shared" si="0"/>
        <v>106275</v>
      </c>
      <c r="H22" s="205">
        <f t="shared" si="1"/>
        <v>35425</v>
      </c>
      <c r="I22" s="351">
        <f t="shared" si="2"/>
        <v>101424</v>
      </c>
      <c r="K22" s="205">
        <f t="shared" si="3"/>
        <v>1091475</v>
      </c>
      <c r="L22" s="272">
        <f t="shared" si="4"/>
        <v>14096.185278641371</v>
      </c>
      <c r="N22" s="205">
        <v>51549</v>
      </c>
    </row>
    <row r="23" spans="2:23" s="62" customFormat="1" ht="12.75" customHeight="1">
      <c r="B23" s="224" t="s">
        <v>343</v>
      </c>
      <c r="C23" s="205">
        <v>1212750</v>
      </c>
      <c r="D23" s="61"/>
      <c r="E23" s="205">
        <v>15000</v>
      </c>
      <c r="G23" s="208">
        <f t="shared" si="0"/>
        <v>106275</v>
      </c>
      <c r="H23" s="205">
        <f t="shared" si="1"/>
        <v>35425</v>
      </c>
      <c r="I23" s="351">
        <f t="shared" si="2"/>
        <v>101424</v>
      </c>
      <c r="K23" s="205">
        <f t="shared" si="3"/>
        <v>1091475</v>
      </c>
      <c r="L23" s="272">
        <f t="shared" si="4"/>
        <v>14096.185278641371</v>
      </c>
      <c r="N23" s="205">
        <v>51549</v>
      </c>
    </row>
    <row r="24" spans="2:23" s="62" customFormat="1">
      <c r="B24" s="346" t="s">
        <v>332</v>
      </c>
      <c r="C24" s="205">
        <v>1244250</v>
      </c>
      <c r="D24" s="61"/>
      <c r="E24" s="205">
        <v>15000</v>
      </c>
      <c r="G24" s="208">
        <f t="shared" si="0"/>
        <v>109425</v>
      </c>
      <c r="H24" s="205">
        <f t="shared" si="1"/>
        <v>36475</v>
      </c>
      <c r="I24" s="351">
        <f t="shared" si="2"/>
        <v>104448</v>
      </c>
      <c r="K24" s="205">
        <f t="shared" si="3"/>
        <v>1119825</v>
      </c>
      <c r="L24" s="272">
        <f t="shared" si="4"/>
        <v>14460.570321953848</v>
      </c>
      <c r="N24" s="205">
        <v>52573</v>
      </c>
    </row>
    <row r="25" spans="2:23" s="62" customFormat="1" ht="12.75" customHeight="1">
      <c r="B25" s="346" t="s">
        <v>329</v>
      </c>
      <c r="C25" s="205">
        <v>1307250</v>
      </c>
      <c r="D25" s="61"/>
      <c r="E25" s="205">
        <v>15000</v>
      </c>
      <c r="G25" s="208">
        <f t="shared" si="0"/>
        <v>115725</v>
      </c>
      <c r="H25" s="205">
        <f t="shared" si="1"/>
        <v>38575</v>
      </c>
      <c r="I25" s="351">
        <f t="shared" si="2"/>
        <v>110496</v>
      </c>
      <c r="K25" s="205">
        <f t="shared" si="3"/>
        <v>1176525</v>
      </c>
      <c r="L25" s="272">
        <f t="shared" si="4"/>
        <v>15189.340408578797</v>
      </c>
      <c r="N25" s="205">
        <v>54621</v>
      </c>
    </row>
    <row r="26" spans="2:23" s="62" customFormat="1">
      <c r="B26" s="346" t="s">
        <v>330</v>
      </c>
      <c r="C26" s="205">
        <f>C25</f>
        <v>1307250</v>
      </c>
      <c r="D26" s="61"/>
      <c r="E26" s="205">
        <v>15000</v>
      </c>
      <c r="G26" s="208">
        <f t="shared" si="0"/>
        <v>115725</v>
      </c>
      <c r="H26" s="205">
        <f t="shared" si="1"/>
        <v>38575</v>
      </c>
      <c r="I26" s="351">
        <f t="shared" si="2"/>
        <v>110496</v>
      </c>
      <c r="K26" s="205">
        <f t="shared" si="3"/>
        <v>1176525</v>
      </c>
      <c r="L26" s="272">
        <f t="shared" si="4"/>
        <v>15189.340408578797</v>
      </c>
      <c r="N26" s="205">
        <v>54621</v>
      </c>
    </row>
    <row r="27" spans="2:23" s="62" customFormat="1">
      <c r="B27" s="347" t="s">
        <v>331</v>
      </c>
      <c r="C27" s="201">
        <v>1370500</v>
      </c>
      <c r="D27" s="61"/>
      <c r="E27" s="201">
        <v>15000</v>
      </c>
      <c r="G27" s="209">
        <f t="shared" si="0"/>
        <v>122050</v>
      </c>
      <c r="H27" s="201">
        <f t="shared" si="1"/>
        <v>40683.333333333336</v>
      </c>
      <c r="I27" s="352">
        <f t="shared" si="2"/>
        <v>116568</v>
      </c>
      <c r="K27" s="201">
        <f t="shared" si="3"/>
        <v>1233450</v>
      </c>
      <c r="L27" s="275">
        <f t="shared" si="4"/>
        <v>15920.996178969011</v>
      </c>
      <c r="N27" s="201">
        <v>56676</v>
      </c>
    </row>
    <row r="28" spans="2:23">
      <c r="B28" s="106"/>
      <c r="C28" s="61"/>
      <c r="D28" s="61"/>
      <c r="E28" s="61"/>
      <c r="G28" s="61"/>
      <c r="H28" s="61"/>
      <c r="I28" s="340"/>
      <c r="K28" s="61"/>
      <c r="L28" s="61"/>
      <c r="N28" s="61"/>
    </row>
    <row r="29" spans="2:23">
      <c r="B29" s="106"/>
      <c r="C29" s="282"/>
      <c r="D29" s="282"/>
      <c r="E29" s="30"/>
      <c r="F29" s="30"/>
      <c r="G29" s="30"/>
      <c r="H29" s="28"/>
      <c r="K29" s="28"/>
      <c r="L29" s="28"/>
    </row>
    <row r="30" spans="2:23">
      <c r="B30" s="106"/>
      <c r="C30" s="28"/>
      <c r="D30" s="28"/>
      <c r="E30" s="30"/>
      <c r="F30" s="30"/>
      <c r="G30" s="30"/>
      <c r="H30" s="28"/>
      <c r="K30" s="28"/>
      <c r="L30" s="28"/>
    </row>
    <row r="31" spans="2:23">
      <c r="B31" s="106"/>
      <c r="C31" s="28"/>
      <c r="D31" s="28"/>
      <c r="E31" s="30"/>
      <c r="F31" s="30"/>
      <c r="G31" s="30"/>
      <c r="H31" s="28"/>
      <c r="K31" s="28"/>
      <c r="L31" s="28"/>
    </row>
    <row r="32" spans="2:23">
      <c r="C32" s="28"/>
      <c r="D32" s="28"/>
      <c r="E32" s="30"/>
      <c r="F32" s="30"/>
      <c r="G32" s="30"/>
      <c r="H32" s="28"/>
      <c r="K32" s="28"/>
      <c r="L32" s="28"/>
    </row>
    <row r="33" spans="3:12">
      <c r="C33" s="28"/>
      <c r="D33" s="28"/>
      <c r="E33" s="30"/>
      <c r="F33" s="30"/>
      <c r="G33" s="30"/>
      <c r="H33" s="28"/>
      <c r="K33" s="28"/>
      <c r="L33" s="28"/>
    </row>
    <row r="34" spans="3:12">
      <c r="C34" s="270"/>
      <c r="D34" s="270"/>
      <c r="E34" s="30"/>
      <c r="F34" s="30"/>
      <c r="G34" s="30"/>
      <c r="H34" s="28"/>
      <c r="K34" s="28"/>
      <c r="L34" s="28"/>
    </row>
  </sheetData>
  <mergeCells count="17">
    <mergeCell ref="C8:C11"/>
    <mergeCell ref="P10:Q10"/>
    <mergeCell ref="B1:G1"/>
    <mergeCell ref="B2:F2"/>
    <mergeCell ref="B3:G3"/>
    <mergeCell ref="B4:G4"/>
    <mergeCell ref="B5:G5"/>
    <mergeCell ref="K8:L8"/>
    <mergeCell ref="N8:N11"/>
    <mergeCell ref="G9:G11"/>
    <mergeCell ref="K9:K11"/>
    <mergeCell ref="L9:L11"/>
    <mergeCell ref="H10:H11"/>
    <mergeCell ref="I10:I11"/>
    <mergeCell ref="E8:E11"/>
    <mergeCell ref="G8:I8"/>
    <mergeCell ref="B8:B11"/>
  </mergeCells>
  <pageMargins left="0.7" right="0.7" top="0.75" bottom="0.75" header="0.3" footer="0.3"/>
  <pageSetup orientation="portrait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B1:R31"/>
  <sheetViews>
    <sheetView workbookViewId="0">
      <selection activeCell="B12" sqref="B12:G27"/>
    </sheetView>
  </sheetViews>
  <sheetFormatPr defaultRowHeight="12.75"/>
  <cols>
    <col min="1" max="1" width="6.5703125" style="107" customWidth="1"/>
    <col min="2" max="2" width="16.28515625" style="114" customWidth="1"/>
    <col min="3" max="3" width="12.42578125" style="113" customWidth="1"/>
    <col min="4" max="4" width="5.85546875" style="112" hidden="1" customWidth="1"/>
    <col min="5" max="5" width="12.5703125" style="109" hidden="1" customWidth="1"/>
    <col min="6" max="6" width="14.140625" style="109" hidden="1" customWidth="1"/>
    <col min="7" max="7" width="14.140625" style="109" customWidth="1"/>
    <col min="8" max="8" width="1.5703125" style="111" customWidth="1"/>
    <col min="9" max="9" width="11.28515625" style="109" customWidth="1"/>
    <col min="10" max="10" width="1" style="107" customWidth="1"/>
    <col min="11" max="11" width="11.85546875" style="109" bestFit="1" customWidth="1"/>
    <col min="12" max="12" width="11" style="110" customWidth="1"/>
    <col min="13" max="13" width="11.5703125" style="109" customWidth="1"/>
    <col min="14" max="14" width="12.28515625" style="108" customWidth="1"/>
    <col min="15" max="15" width="0.85546875" style="107" customWidth="1"/>
    <col min="16" max="16" width="10.7109375" style="108" customWidth="1"/>
    <col min="17" max="17" width="11.5703125" style="107" bestFit="1" customWidth="1"/>
    <col min="18" max="18" width="11.5703125" style="108" bestFit="1" customWidth="1"/>
    <col min="19" max="16384" width="9.140625" style="107"/>
  </cols>
  <sheetData>
    <row r="1" spans="2:18" s="136" customFormat="1" ht="15">
      <c r="B1" s="491" t="s">
        <v>220</v>
      </c>
      <c r="C1" s="491"/>
      <c r="D1" s="491"/>
      <c r="E1" s="491"/>
      <c r="F1" s="491"/>
      <c r="G1" s="491"/>
      <c r="H1" s="491"/>
      <c r="I1" s="491"/>
      <c r="J1" s="491"/>
      <c r="K1" s="143"/>
      <c r="L1" s="142"/>
      <c r="M1" s="141"/>
      <c r="N1" s="137"/>
      <c r="O1" s="141"/>
      <c r="P1" s="139"/>
      <c r="Q1" s="138"/>
      <c r="R1" s="137"/>
    </row>
    <row r="2" spans="2:18" s="136" customFormat="1" ht="15">
      <c r="B2" s="491" t="s">
        <v>228</v>
      </c>
      <c r="C2" s="491"/>
      <c r="D2" s="491"/>
      <c r="E2" s="491"/>
      <c r="F2" s="491"/>
      <c r="G2" s="491"/>
      <c r="H2" s="491"/>
      <c r="I2" s="491"/>
      <c r="J2" s="491"/>
      <c r="K2" s="143"/>
      <c r="L2" s="142"/>
      <c r="M2" s="141"/>
      <c r="N2" s="137"/>
      <c r="O2" s="141"/>
      <c r="P2" s="139"/>
      <c r="Q2" s="138"/>
      <c r="R2" s="137"/>
    </row>
    <row r="3" spans="2:18" s="136" customFormat="1" ht="15">
      <c r="B3" s="491" t="s">
        <v>222</v>
      </c>
      <c r="C3" s="491"/>
      <c r="D3" s="491"/>
      <c r="E3" s="491"/>
      <c r="F3" s="491"/>
      <c r="G3" s="491"/>
      <c r="H3" s="491"/>
      <c r="I3" s="491"/>
      <c r="J3" s="491"/>
      <c r="K3" s="143"/>
      <c r="L3" s="142"/>
      <c r="M3" s="141"/>
      <c r="N3" s="137"/>
      <c r="O3" s="141"/>
      <c r="P3" s="139"/>
      <c r="Q3" s="138"/>
      <c r="R3" s="137"/>
    </row>
    <row r="4" spans="2:18" s="136" customFormat="1" ht="15">
      <c r="B4" s="491" t="s">
        <v>234</v>
      </c>
      <c r="C4" s="491"/>
      <c r="D4" s="491"/>
      <c r="E4" s="491"/>
      <c r="F4" s="491"/>
      <c r="G4" s="491"/>
      <c r="H4" s="491"/>
      <c r="I4" s="491"/>
      <c r="J4" s="491"/>
      <c r="K4" s="143"/>
      <c r="L4" s="142"/>
      <c r="M4" s="141"/>
      <c r="N4" s="137"/>
      <c r="O4" s="141"/>
      <c r="P4" s="139"/>
      <c r="Q4" s="138"/>
      <c r="R4" s="137"/>
    </row>
    <row r="5" spans="2:18" s="131" customFormat="1" ht="15">
      <c r="B5" s="492" t="s">
        <v>217</v>
      </c>
      <c r="C5" s="492"/>
      <c r="D5" s="492"/>
      <c r="E5" s="492"/>
      <c r="F5" s="492"/>
      <c r="G5" s="492"/>
      <c r="H5" s="492"/>
      <c r="I5" s="492"/>
      <c r="J5" s="492"/>
      <c r="K5" s="135"/>
      <c r="L5" s="134"/>
      <c r="M5" s="133"/>
      <c r="N5" s="132"/>
      <c r="P5" s="132"/>
      <c r="R5" s="132"/>
    </row>
    <row r="6" spans="2:18">
      <c r="F6" s="140"/>
      <c r="G6" s="140"/>
    </row>
    <row r="8" spans="2:18" ht="12.75" customHeight="1">
      <c r="B8" s="499" t="s">
        <v>128</v>
      </c>
      <c r="C8" s="500" t="s">
        <v>221</v>
      </c>
      <c r="D8" s="496" t="s">
        <v>17</v>
      </c>
      <c r="E8" s="495" t="s">
        <v>132</v>
      </c>
      <c r="F8" s="495" t="s">
        <v>135</v>
      </c>
      <c r="G8" s="495" t="s">
        <v>135</v>
      </c>
      <c r="I8" s="493" t="s">
        <v>5</v>
      </c>
      <c r="J8" s="128"/>
      <c r="K8" s="494" t="s">
        <v>233</v>
      </c>
      <c r="L8" s="494"/>
      <c r="M8" s="483" t="s">
        <v>65</v>
      </c>
      <c r="N8" s="484"/>
      <c r="O8" s="130"/>
      <c r="P8" s="485" t="s">
        <v>66</v>
      </c>
    </row>
    <row r="9" spans="2:18" ht="12.75" customHeight="1">
      <c r="B9" s="499"/>
      <c r="C9" s="500"/>
      <c r="D9" s="497"/>
      <c r="E9" s="495"/>
      <c r="F9" s="495"/>
      <c r="G9" s="495"/>
      <c r="I9" s="493"/>
      <c r="J9" s="128"/>
      <c r="K9" s="501" t="s">
        <v>67</v>
      </c>
      <c r="L9" s="485" t="s">
        <v>231</v>
      </c>
      <c r="M9" s="488" t="s">
        <v>230</v>
      </c>
      <c r="N9" s="480" t="s">
        <v>229</v>
      </c>
      <c r="O9" s="130"/>
      <c r="P9" s="486"/>
    </row>
    <row r="10" spans="2:18" ht="12.75" customHeight="1">
      <c r="B10" s="499"/>
      <c r="C10" s="500"/>
      <c r="D10" s="497"/>
      <c r="E10" s="495"/>
      <c r="F10" s="495"/>
      <c r="G10" s="495"/>
      <c r="I10" s="493"/>
      <c r="J10" s="128"/>
      <c r="K10" s="502"/>
      <c r="L10" s="486"/>
      <c r="M10" s="489"/>
      <c r="N10" s="481"/>
      <c r="O10" s="129"/>
      <c r="P10" s="486"/>
    </row>
    <row r="11" spans="2:18">
      <c r="B11" s="499"/>
      <c r="C11" s="500"/>
      <c r="D11" s="498"/>
      <c r="E11" s="495"/>
      <c r="F11" s="495"/>
      <c r="G11" s="495"/>
      <c r="I11" s="493"/>
      <c r="J11" s="128"/>
      <c r="K11" s="503"/>
      <c r="L11" s="487"/>
      <c r="M11" s="490"/>
      <c r="N11" s="482"/>
      <c r="P11" s="487"/>
    </row>
    <row r="12" spans="2:18" ht="12.75" customHeight="1">
      <c r="B12" s="505" t="s">
        <v>227</v>
      </c>
      <c r="C12" s="127" t="s">
        <v>224</v>
      </c>
      <c r="D12" s="126">
        <v>15</v>
      </c>
      <c r="E12" s="124">
        <v>76000</v>
      </c>
      <c r="F12" s="124">
        <f t="shared" ref="F12:F27" si="0">D12*E12</f>
        <v>1140000</v>
      </c>
      <c r="G12" s="124">
        <v>1197000</v>
      </c>
      <c r="I12" s="124">
        <v>15000</v>
      </c>
      <c r="K12" s="124">
        <f t="shared" ref="K12:K27" si="1">G12*0.1-I12</f>
        <v>104700</v>
      </c>
      <c r="L12" s="125">
        <f t="shared" ref="L12:L27" si="2">K12/12</f>
        <v>8725</v>
      </c>
      <c r="M12" s="124">
        <f t="shared" ref="M12:M27" si="3">G12*0.9</f>
        <v>1077300</v>
      </c>
      <c r="N12" s="123">
        <f t="shared" ref="N12:N27" si="4">PMT(13%/12,180,-M12)+P12/180</f>
        <v>13962.953868096247</v>
      </c>
      <c r="P12" s="123">
        <f t="shared" ref="P12:P27" si="5">G12*0.05</f>
        <v>59850</v>
      </c>
    </row>
    <row r="13" spans="2:18">
      <c r="B13" s="506"/>
      <c r="C13" s="127" t="s">
        <v>223</v>
      </c>
      <c r="D13" s="126">
        <v>15</v>
      </c>
      <c r="E13" s="124">
        <v>75000</v>
      </c>
      <c r="F13" s="124">
        <f t="shared" si="0"/>
        <v>1125000</v>
      </c>
      <c r="G13" s="124">
        <v>1181250</v>
      </c>
      <c r="I13" s="124">
        <v>15000</v>
      </c>
      <c r="K13" s="124">
        <f t="shared" si="1"/>
        <v>103125</v>
      </c>
      <c r="L13" s="125">
        <f t="shared" si="2"/>
        <v>8593.75</v>
      </c>
      <c r="M13" s="124">
        <f t="shared" si="3"/>
        <v>1063125</v>
      </c>
      <c r="N13" s="123">
        <f t="shared" si="4"/>
        <v>13779.230790884454</v>
      </c>
      <c r="P13" s="123">
        <f t="shared" si="5"/>
        <v>59062.5</v>
      </c>
    </row>
    <row r="14" spans="2:18" ht="12.75" customHeight="1">
      <c r="B14" s="505" t="s">
        <v>226</v>
      </c>
      <c r="C14" s="127" t="s">
        <v>224</v>
      </c>
      <c r="D14" s="126">
        <v>15</v>
      </c>
      <c r="E14" s="124">
        <f t="shared" ref="E14:E27" si="6">E12+2000</f>
        <v>78000</v>
      </c>
      <c r="F14" s="124">
        <f t="shared" si="0"/>
        <v>1170000</v>
      </c>
      <c r="G14" s="124">
        <v>1228500</v>
      </c>
      <c r="I14" s="124">
        <v>15000</v>
      </c>
      <c r="K14" s="124">
        <f t="shared" si="1"/>
        <v>107850</v>
      </c>
      <c r="L14" s="125">
        <f t="shared" si="2"/>
        <v>8987.5</v>
      </c>
      <c r="M14" s="124">
        <f t="shared" si="3"/>
        <v>1105650</v>
      </c>
      <c r="N14" s="123">
        <f t="shared" si="4"/>
        <v>14330.400022519834</v>
      </c>
      <c r="P14" s="123">
        <f t="shared" si="5"/>
        <v>61425</v>
      </c>
    </row>
    <row r="15" spans="2:18">
      <c r="B15" s="506"/>
      <c r="C15" s="127" t="s">
        <v>223</v>
      </c>
      <c r="D15" s="126">
        <v>15</v>
      </c>
      <c r="E15" s="124">
        <f t="shared" si="6"/>
        <v>77000</v>
      </c>
      <c r="F15" s="124">
        <f t="shared" si="0"/>
        <v>1155000</v>
      </c>
      <c r="G15" s="124">
        <v>1212750</v>
      </c>
      <c r="I15" s="124">
        <v>15000</v>
      </c>
      <c r="K15" s="124">
        <f t="shared" si="1"/>
        <v>106275</v>
      </c>
      <c r="L15" s="125">
        <f t="shared" si="2"/>
        <v>8856.25</v>
      </c>
      <c r="M15" s="124">
        <f t="shared" si="3"/>
        <v>1091475</v>
      </c>
      <c r="N15" s="123">
        <f t="shared" si="4"/>
        <v>14146.676945308038</v>
      </c>
      <c r="P15" s="123">
        <f t="shared" si="5"/>
        <v>60637.5</v>
      </c>
    </row>
    <row r="16" spans="2:18">
      <c r="B16" s="505" t="s">
        <v>225</v>
      </c>
      <c r="C16" s="127" t="s">
        <v>224</v>
      </c>
      <c r="D16" s="126">
        <v>15</v>
      </c>
      <c r="E16" s="124">
        <f t="shared" si="6"/>
        <v>80000</v>
      </c>
      <c r="F16" s="124">
        <f t="shared" si="0"/>
        <v>1200000</v>
      </c>
      <c r="G16" s="124">
        <v>1260000</v>
      </c>
      <c r="I16" s="124">
        <v>15000</v>
      </c>
      <c r="K16" s="124">
        <f t="shared" si="1"/>
        <v>111000</v>
      </c>
      <c r="L16" s="125">
        <f t="shared" si="2"/>
        <v>9250</v>
      </c>
      <c r="M16" s="124">
        <f t="shared" si="3"/>
        <v>1134000</v>
      </c>
      <c r="N16" s="123">
        <f t="shared" si="4"/>
        <v>14697.846176943418</v>
      </c>
      <c r="P16" s="123">
        <f t="shared" si="5"/>
        <v>63000</v>
      </c>
    </row>
    <row r="17" spans="2:16">
      <c r="B17" s="507"/>
      <c r="C17" s="127" t="s">
        <v>223</v>
      </c>
      <c r="D17" s="126">
        <v>15</v>
      </c>
      <c r="E17" s="124">
        <f t="shared" si="6"/>
        <v>79000</v>
      </c>
      <c r="F17" s="124">
        <f t="shared" si="0"/>
        <v>1185000</v>
      </c>
      <c r="G17" s="124">
        <v>1244250</v>
      </c>
      <c r="I17" s="124">
        <v>15000</v>
      </c>
      <c r="K17" s="124">
        <f t="shared" si="1"/>
        <v>109425</v>
      </c>
      <c r="L17" s="125">
        <f t="shared" si="2"/>
        <v>9118.75</v>
      </c>
      <c r="M17" s="124">
        <f t="shared" si="3"/>
        <v>1119825</v>
      </c>
      <c r="N17" s="123">
        <f t="shared" si="4"/>
        <v>14514.123099731625</v>
      </c>
      <c r="P17" s="123">
        <f t="shared" si="5"/>
        <v>62212.5</v>
      </c>
    </row>
    <row r="18" spans="2:16">
      <c r="B18" s="504" t="s">
        <v>140</v>
      </c>
      <c r="C18" s="127" t="s">
        <v>224</v>
      </c>
      <c r="D18" s="126">
        <v>15</v>
      </c>
      <c r="E18" s="124">
        <f t="shared" si="6"/>
        <v>82000</v>
      </c>
      <c r="F18" s="124">
        <f t="shared" si="0"/>
        <v>1230000</v>
      </c>
      <c r="G18" s="124">
        <v>1291500</v>
      </c>
      <c r="I18" s="124">
        <v>15000</v>
      </c>
      <c r="K18" s="124">
        <f t="shared" si="1"/>
        <v>114150</v>
      </c>
      <c r="L18" s="125">
        <f t="shared" si="2"/>
        <v>9512.5</v>
      </c>
      <c r="M18" s="124">
        <f t="shared" si="3"/>
        <v>1162350</v>
      </c>
      <c r="N18" s="123">
        <f t="shared" si="4"/>
        <v>15065.292331367003</v>
      </c>
      <c r="P18" s="123">
        <f t="shared" si="5"/>
        <v>64575</v>
      </c>
    </row>
    <row r="19" spans="2:16">
      <c r="B19" s="504"/>
      <c r="C19" s="127" t="s">
        <v>223</v>
      </c>
      <c r="D19" s="126">
        <v>15</v>
      </c>
      <c r="E19" s="124">
        <f t="shared" si="6"/>
        <v>81000</v>
      </c>
      <c r="F19" s="124">
        <f t="shared" si="0"/>
        <v>1215000</v>
      </c>
      <c r="G19" s="124">
        <v>1275750</v>
      </c>
      <c r="I19" s="124">
        <v>15000</v>
      </c>
      <c r="K19" s="124">
        <f t="shared" si="1"/>
        <v>112575</v>
      </c>
      <c r="L19" s="125">
        <f t="shared" si="2"/>
        <v>9381.25</v>
      </c>
      <c r="M19" s="124">
        <f t="shared" si="3"/>
        <v>1148175</v>
      </c>
      <c r="N19" s="123">
        <f t="shared" si="4"/>
        <v>14881.569254155209</v>
      </c>
      <c r="P19" s="123">
        <f t="shared" si="5"/>
        <v>63787.5</v>
      </c>
    </row>
    <row r="20" spans="2:16">
      <c r="B20" s="504" t="s">
        <v>141</v>
      </c>
      <c r="C20" s="127" t="s">
        <v>224</v>
      </c>
      <c r="D20" s="126">
        <v>15</v>
      </c>
      <c r="E20" s="124">
        <f t="shared" si="6"/>
        <v>84000</v>
      </c>
      <c r="F20" s="124">
        <f t="shared" si="0"/>
        <v>1260000</v>
      </c>
      <c r="G20" s="124">
        <v>1323000</v>
      </c>
      <c r="I20" s="124">
        <v>15000</v>
      </c>
      <c r="K20" s="124">
        <f t="shared" si="1"/>
        <v>117300</v>
      </c>
      <c r="L20" s="125">
        <f t="shared" si="2"/>
        <v>9775</v>
      </c>
      <c r="M20" s="124">
        <f t="shared" si="3"/>
        <v>1190700</v>
      </c>
      <c r="N20" s="123">
        <f t="shared" si="4"/>
        <v>15432.738485790589</v>
      </c>
      <c r="P20" s="123">
        <f t="shared" si="5"/>
        <v>66150</v>
      </c>
    </row>
    <row r="21" spans="2:16">
      <c r="B21" s="504"/>
      <c r="C21" s="127" t="s">
        <v>223</v>
      </c>
      <c r="D21" s="126">
        <v>15</v>
      </c>
      <c r="E21" s="124">
        <f t="shared" si="6"/>
        <v>83000</v>
      </c>
      <c r="F21" s="124">
        <f t="shared" si="0"/>
        <v>1245000</v>
      </c>
      <c r="G21" s="124">
        <v>1307250</v>
      </c>
      <c r="I21" s="124">
        <v>15000</v>
      </c>
      <c r="K21" s="124">
        <f t="shared" si="1"/>
        <v>115725</v>
      </c>
      <c r="L21" s="125">
        <f t="shared" si="2"/>
        <v>9643.75</v>
      </c>
      <c r="M21" s="124">
        <f t="shared" si="3"/>
        <v>1176525</v>
      </c>
      <c r="N21" s="123">
        <f t="shared" si="4"/>
        <v>15249.015408578796</v>
      </c>
      <c r="P21" s="123">
        <f t="shared" si="5"/>
        <v>65362.5</v>
      </c>
    </row>
    <row r="22" spans="2:16">
      <c r="B22" s="504" t="s">
        <v>144</v>
      </c>
      <c r="C22" s="127" t="s">
        <v>224</v>
      </c>
      <c r="D22" s="126">
        <v>15</v>
      </c>
      <c r="E22" s="124">
        <f t="shared" si="6"/>
        <v>86000</v>
      </c>
      <c r="F22" s="124">
        <f t="shared" si="0"/>
        <v>1290000</v>
      </c>
      <c r="G22" s="124">
        <v>1354500</v>
      </c>
      <c r="I22" s="124">
        <v>15000</v>
      </c>
      <c r="K22" s="124">
        <f t="shared" si="1"/>
        <v>120450</v>
      </c>
      <c r="L22" s="125">
        <f t="shared" si="2"/>
        <v>10037.5</v>
      </c>
      <c r="M22" s="124">
        <f t="shared" si="3"/>
        <v>1219050</v>
      </c>
      <c r="N22" s="123">
        <f t="shared" si="4"/>
        <v>15800.184640214175</v>
      </c>
      <c r="P22" s="123">
        <f t="shared" si="5"/>
        <v>67725</v>
      </c>
    </row>
    <row r="23" spans="2:16">
      <c r="B23" s="504"/>
      <c r="C23" s="127" t="s">
        <v>223</v>
      </c>
      <c r="D23" s="126">
        <v>15</v>
      </c>
      <c r="E23" s="124">
        <f t="shared" si="6"/>
        <v>85000</v>
      </c>
      <c r="F23" s="124">
        <f t="shared" si="0"/>
        <v>1275000</v>
      </c>
      <c r="G23" s="124">
        <v>1338750</v>
      </c>
      <c r="I23" s="124">
        <v>15000</v>
      </c>
      <c r="K23" s="124">
        <f t="shared" si="1"/>
        <v>118875</v>
      </c>
      <c r="L23" s="125">
        <f t="shared" si="2"/>
        <v>9906.25</v>
      </c>
      <c r="M23" s="124">
        <f t="shared" si="3"/>
        <v>1204875</v>
      </c>
      <c r="N23" s="123">
        <f t="shared" si="4"/>
        <v>15616.46156300238</v>
      </c>
      <c r="P23" s="123">
        <f t="shared" si="5"/>
        <v>66937.5</v>
      </c>
    </row>
    <row r="24" spans="2:16">
      <c r="B24" s="504" t="s">
        <v>145</v>
      </c>
      <c r="C24" s="127" t="s">
        <v>224</v>
      </c>
      <c r="D24" s="126">
        <v>15</v>
      </c>
      <c r="E24" s="124">
        <f t="shared" si="6"/>
        <v>88000</v>
      </c>
      <c r="F24" s="124">
        <f t="shared" si="0"/>
        <v>1320000</v>
      </c>
      <c r="G24" s="124">
        <v>1386000</v>
      </c>
      <c r="I24" s="124">
        <v>15000</v>
      </c>
      <c r="K24" s="124">
        <f t="shared" si="1"/>
        <v>123600</v>
      </c>
      <c r="L24" s="125">
        <f t="shared" si="2"/>
        <v>10300</v>
      </c>
      <c r="M24" s="124">
        <f t="shared" si="3"/>
        <v>1247400</v>
      </c>
      <c r="N24" s="123">
        <f t="shared" si="4"/>
        <v>16167.63079463776</v>
      </c>
      <c r="P24" s="123">
        <f t="shared" si="5"/>
        <v>69300</v>
      </c>
    </row>
    <row r="25" spans="2:16">
      <c r="B25" s="504"/>
      <c r="C25" s="127" t="s">
        <v>223</v>
      </c>
      <c r="D25" s="126">
        <v>15</v>
      </c>
      <c r="E25" s="124">
        <f t="shared" si="6"/>
        <v>87000</v>
      </c>
      <c r="F25" s="124">
        <f t="shared" si="0"/>
        <v>1305000</v>
      </c>
      <c r="G25" s="124">
        <v>1370250</v>
      </c>
      <c r="I25" s="124">
        <v>15000</v>
      </c>
      <c r="K25" s="124">
        <f t="shared" si="1"/>
        <v>122025</v>
      </c>
      <c r="L25" s="125">
        <f t="shared" si="2"/>
        <v>10168.75</v>
      </c>
      <c r="M25" s="124">
        <f t="shared" si="3"/>
        <v>1233225</v>
      </c>
      <c r="N25" s="123">
        <f t="shared" si="4"/>
        <v>15983.907717425967</v>
      </c>
      <c r="P25" s="123">
        <f t="shared" si="5"/>
        <v>68512.5</v>
      </c>
    </row>
    <row r="26" spans="2:16">
      <c r="B26" s="504" t="s">
        <v>146</v>
      </c>
      <c r="C26" s="127" t="s">
        <v>224</v>
      </c>
      <c r="D26" s="126">
        <v>15</v>
      </c>
      <c r="E26" s="124">
        <f t="shared" si="6"/>
        <v>90000</v>
      </c>
      <c r="F26" s="124">
        <f t="shared" si="0"/>
        <v>1350000</v>
      </c>
      <c r="G26" s="124">
        <v>1417500</v>
      </c>
      <c r="I26" s="124">
        <v>15000</v>
      </c>
      <c r="K26" s="124">
        <f t="shared" si="1"/>
        <v>126750</v>
      </c>
      <c r="L26" s="125">
        <f t="shared" si="2"/>
        <v>10562.5</v>
      </c>
      <c r="M26" s="124">
        <f t="shared" si="3"/>
        <v>1275750</v>
      </c>
      <c r="N26" s="123">
        <f t="shared" si="4"/>
        <v>16535.076949061346</v>
      </c>
      <c r="P26" s="123">
        <f t="shared" si="5"/>
        <v>70875</v>
      </c>
    </row>
    <row r="27" spans="2:16">
      <c r="B27" s="504"/>
      <c r="C27" s="127" t="s">
        <v>223</v>
      </c>
      <c r="D27" s="126">
        <v>15</v>
      </c>
      <c r="E27" s="124">
        <f t="shared" si="6"/>
        <v>89000</v>
      </c>
      <c r="F27" s="124">
        <f t="shared" si="0"/>
        <v>1335000</v>
      </c>
      <c r="G27" s="124">
        <v>1401750</v>
      </c>
      <c r="I27" s="124">
        <v>15000</v>
      </c>
      <c r="K27" s="124">
        <f t="shared" si="1"/>
        <v>125175</v>
      </c>
      <c r="L27" s="125">
        <f t="shared" si="2"/>
        <v>10431.25</v>
      </c>
      <c r="M27" s="124">
        <f t="shared" si="3"/>
        <v>1261575</v>
      </c>
      <c r="N27" s="123">
        <f t="shared" si="4"/>
        <v>16351.353871849551</v>
      </c>
      <c r="P27" s="123">
        <f t="shared" si="5"/>
        <v>70087.5</v>
      </c>
    </row>
    <row r="28" spans="2:16">
      <c r="B28" s="122" t="s">
        <v>152</v>
      </c>
      <c r="C28" s="120"/>
      <c r="E28" s="110"/>
      <c r="F28" s="121"/>
      <c r="G28" s="121"/>
      <c r="H28" s="108"/>
      <c r="I28" s="112"/>
      <c r="J28" s="112"/>
      <c r="K28" s="115"/>
      <c r="M28" s="107"/>
    </row>
    <row r="29" spans="2:16">
      <c r="B29" s="117">
        <v>1</v>
      </c>
      <c r="C29" s="120" t="s">
        <v>153</v>
      </c>
      <c r="D29" s="119"/>
      <c r="E29" s="118"/>
      <c r="F29" s="107"/>
      <c r="G29" s="107"/>
      <c r="H29" s="108"/>
      <c r="I29" s="112"/>
      <c r="J29" s="112"/>
      <c r="K29" s="115"/>
      <c r="M29" s="107"/>
    </row>
    <row r="30" spans="2:16">
      <c r="B30" s="117">
        <v>2</v>
      </c>
      <c r="C30" s="113" t="s">
        <v>125</v>
      </c>
      <c r="E30" s="110"/>
      <c r="F30" s="107"/>
      <c r="G30" s="107"/>
      <c r="H30" s="108"/>
      <c r="I30" s="112"/>
      <c r="J30" s="112"/>
      <c r="K30" s="115"/>
      <c r="M30" s="107"/>
    </row>
    <row r="31" spans="2:16">
      <c r="B31" s="117">
        <v>3</v>
      </c>
      <c r="C31" s="113" t="s">
        <v>155</v>
      </c>
      <c r="E31" s="110"/>
      <c r="F31" s="116"/>
      <c r="G31" s="116"/>
      <c r="H31" s="108"/>
      <c r="I31" s="112"/>
      <c r="J31" s="112"/>
      <c r="K31" s="115"/>
      <c r="M31" s="107"/>
    </row>
  </sheetData>
  <mergeCells count="27">
    <mergeCell ref="C8:C11"/>
    <mergeCell ref="F8:F11"/>
    <mergeCell ref="K9:K11"/>
    <mergeCell ref="B24:B25"/>
    <mergeCell ref="B26:B27"/>
    <mergeCell ref="B12:B13"/>
    <mergeCell ref="B14:B15"/>
    <mergeCell ref="B16:B17"/>
    <mergeCell ref="B18:B19"/>
    <mergeCell ref="B20:B21"/>
    <mergeCell ref="B22:B23"/>
    <mergeCell ref="N9:N11"/>
    <mergeCell ref="M8:N8"/>
    <mergeCell ref="P8:P11"/>
    <mergeCell ref="M9:M11"/>
    <mergeCell ref="B1:J1"/>
    <mergeCell ref="B2:J2"/>
    <mergeCell ref="B3:J3"/>
    <mergeCell ref="B4:J4"/>
    <mergeCell ref="B5:J5"/>
    <mergeCell ref="L9:L11"/>
    <mergeCell ref="I8:I11"/>
    <mergeCell ref="K8:L8"/>
    <mergeCell ref="E8:E11"/>
    <mergeCell ref="D8:D11"/>
    <mergeCell ref="G8:G11"/>
    <mergeCell ref="B8:B1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-0.499984740745262"/>
  </sheetPr>
  <dimension ref="B2:V24"/>
  <sheetViews>
    <sheetView zoomScale="90" zoomScaleNormal="90" workbookViewId="0">
      <selection activeCell="B2" sqref="B2:L23"/>
    </sheetView>
  </sheetViews>
  <sheetFormatPr defaultRowHeight="12"/>
  <cols>
    <col min="1" max="1" width="9.140625" style="28"/>
    <col min="2" max="2" width="13" style="30" customWidth="1"/>
    <col min="3" max="3" width="11.140625" style="28" customWidth="1"/>
    <col min="4" max="4" width="2" style="28" customWidth="1"/>
    <col min="5" max="5" width="9.140625" style="28"/>
    <col min="6" max="6" width="2" style="28" customWidth="1"/>
    <col min="7" max="7" width="12.42578125" style="82" customWidth="1"/>
    <col min="8" max="8" width="14.28515625" style="82" customWidth="1"/>
    <col min="9" max="9" width="11.85546875" style="82" customWidth="1"/>
    <col min="10" max="10" width="13.140625" style="82" customWidth="1"/>
    <col min="11" max="11" width="2" style="82" customWidth="1"/>
    <col min="12" max="12" width="13.85546875" style="82" customWidth="1"/>
    <col min="13" max="13" width="9.140625" style="28"/>
    <col min="14" max="19" width="0" style="28" hidden="1" customWidth="1"/>
    <col min="20" max="20" width="9.140625" style="28"/>
    <col min="21" max="21" width="0" style="28" hidden="1" customWidth="1"/>
    <col min="22" max="22" width="10.28515625" style="28" hidden="1" customWidth="1"/>
    <col min="23" max="16384" width="9.140625" style="28"/>
  </cols>
  <sheetData>
    <row r="2" spans="2:22" s="40" customFormat="1">
      <c r="B2" s="437" t="s">
        <v>220</v>
      </c>
      <c r="C2" s="437"/>
      <c r="D2" s="437"/>
      <c r="E2" s="437"/>
      <c r="F2" s="437"/>
      <c r="G2" s="437"/>
      <c r="H2" s="437"/>
      <c r="I2" s="437"/>
      <c r="J2" s="437"/>
      <c r="K2" s="437"/>
      <c r="L2" s="437"/>
    </row>
    <row r="3" spans="2:22" s="40" customFormat="1">
      <c r="B3" s="437" t="s">
        <v>235</v>
      </c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327"/>
      <c r="N3" s="42"/>
      <c r="O3" s="321"/>
    </row>
    <row r="4" spans="2:22" s="40" customFormat="1">
      <c r="B4" s="437" t="s">
        <v>222</v>
      </c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327"/>
      <c r="N4" s="42"/>
      <c r="O4" s="321"/>
    </row>
    <row r="5" spans="2:22" s="40" customFormat="1">
      <c r="B5" s="437" t="s">
        <v>364</v>
      </c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327"/>
      <c r="N5" s="42"/>
      <c r="O5" s="321"/>
    </row>
    <row r="6" spans="2:22">
      <c r="H6" s="355"/>
      <c r="I6" s="93"/>
      <c r="M6" s="82"/>
      <c r="O6" s="82"/>
    </row>
    <row r="7" spans="2:22">
      <c r="B7" s="438" t="s">
        <v>62</v>
      </c>
      <c r="C7" s="439" t="s">
        <v>135</v>
      </c>
      <c r="D7" s="62"/>
      <c r="E7" s="425" t="s">
        <v>5</v>
      </c>
      <c r="F7" s="63"/>
      <c r="G7" s="427" t="s">
        <v>233</v>
      </c>
      <c r="H7" s="427"/>
      <c r="I7" s="470" t="s">
        <v>65</v>
      </c>
      <c r="J7" s="471"/>
      <c r="K7" s="319"/>
      <c r="L7" s="428" t="s">
        <v>306</v>
      </c>
    </row>
    <row r="8" spans="2:22" ht="12.75" customHeight="1">
      <c r="B8" s="438"/>
      <c r="C8" s="439"/>
      <c r="D8" s="62"/>
      <c r="E8" s="425"/>
      <c r="F8" s="63"/>
      <c r="G8" s="379" t="s">
        <v>232</v>
      </c>
      <c r="H8" s="428" t="s">
        <v>363</v>
      </c>
      <c r="I8" s="428" t="s">
        <v>230</v>
      </c>
      <c r="J8" s="379" t="s">
        <v>368</v>
      </c>
      <c r="K8" s="319"/>
      <c r="L8" s="429"/>
      <c r="O8" s="162" t="s">
        <v>250</v>
      </c>
      <c r="P8" s="163"/>
      <c r="Q8" s="163"/>
      <c r="R8" s="163"/>
      <c r="S8" s="164"/>
      <c r="T8" s="160"/>
      <c r="U8" s="232"/>
      <c r="V8" s="232"/>
    </row>
    <row r="9" spans="2:22" ht="12.75">
      <c r="B9" s="438"/>
      <c r="C9" s="439"/>
      <c r="D9" s="62"/>
      <c r="E9" s="425"/>
      <c r="F9" s="63"/>
      <c r="G9" s="380"/>
      <c r="H9" s="429"/>
      <c r="I9" s="429"/>
      <c r="J9" s="380"/>
      <c r="K9" s="83"/>
      <c r="L9" s="429"/>
      <c r="O9" s="378" t="s">
        <v>251</v>
      </c>
      <c r="P9" s="378"/>
      <c r="Q9" s="165" t="s">
        <v>252</v>
      </c>
      <c r="R9" s="165" t="s">
        <v>253</v>
      </c>
      <c r="S9" s="166" t="s">
        <v>254</v>
      </c>
      <c r="T9" s="167"/>
      <c r="U9" s="232" t="s">
        <v>305</v>
      </c>
      <c r="V9" s="225">
        <f>C22</f>
        <v>1239000</v>
      </c>
    </row>
    <row r="10" spans="2:22" ht="12.75">
      <c r="B10" s="431"/>
      <c r="C10" s="440"/>
      <c r="D10" s="62"/>
      <c r="E10" s="426"/>
      <c r="F10" s="63"/>
      <c r="G10" s="380"/>
      <c r="H10" s="429"/>
      <c r="I10" s="429"/>
      <c r="J10" s="380"/>
      <c r="L10" s="429"/>
      <c r="O10" s="168" t="s">
        <v>255</v>
      </c>
      <c r="P10" s="168" t="s">
        <v>256</v>
      </c>
      <c r="Q10" s="168" t="s">
        <v>257</v>
      </c>
      <c r="R10" s="168" t="s">
        <v>258</v>
      </c>
      <c r="S10" s="169" t="s">
        <v>259</v>
      </c>
      <c r="T10" s="160"/>
      <c r="U10" s="232"/>
      <c r="V10" s="225">
        <f>V9*0.015</f>
        <v>18585</v>
      </c>
    </row>
    <row r="11" spans="2:22" ht="12.75">
      <c r="B11" s="151"/>
      <c r="C11" s="158"/>
      <c r="D11" s="62"/>
      <c r="E11" s="348"/>
      <c r="F11" s="63"/>
      <c r="G11" s="273"/>
      <c r="H11" s="335"/>
      <c r="I11" s="335"/>
      <c r="J11" s="273"/>
      <c r="K11" s="282"/>
      <c r="L11" s="335"/>
      <c r="O11" s="168" t="s">
        <v>260</v>
      </c>
      <c r="P11" s="168" t="s">
        <v>261</v>
      </c>
      <c r="Q11" s="168" t="s">
        <v>257</v>
      </c>
      <c r="R11" s="168" t="s">
        <v>262</v>
      </c>
      <c r="S11" s="169">
        <v>115</v>
      </c>
      <c r="T11" s="160"/>
      <c r="U11" s="232"/>
      <c r="V11" s="225">
        <f>S11</f>
        <v>115</v>
      </c>
    </row>
    <row r="12" spans="2:22" ht="12.75" customHeight="1">
      <c r="B12" s="357" t="s">
        <v>351</v>
      </c>
      <c r="C12" s="205">
        <v>1294500</v>
      </c>
      <c r="D12" s="62"/>
      <c r="E12" s="153">
        <v>15000</v>
      </c>
      <c r="F12" s="63"/>
      <c r="G12" s="358">
        <f>C12*0.1-E12</f>
        <v>114450</v>
      </c>
      <c r="H12" s="358">
        <f>G12/6</f>
        <v>19075</v>
      </c>
      <c r="I12" s="358">
        <f>C12*0.9</f>
        <v>1165050</v>
      </c>
      <c r="J12" s="358">
        <f>PMT(13%/12,180,-I12)+L12/180</f>
        <v>15041.848314327979</v>
      </c>
      <c r="K12" s="282"/>
      <c r="L12" s="358">
        <v>54206</v>
      </c>
      <c r="O12" s="168" t="s">
        <v>263</v>
      </c>
      <c r="P12" s="168" t="s">
        <v>264</v>
      </c>
      <c r="Q12" s="168" t="s">
        <v>265</v>
      </c>
      <c r="R12" s="168" t="str">
        <f>R10</f>
        <v>Fixed %</v>
      </c>
      <c r="S12" s="169" t="s">
        <v>266</v>
      </c>
      <c r="T12" s="160"/>
      <c r="U12" s="232"/>
      <c r="V12" s="225">
        <f>V9*0.0075</f>
        <v>9292.5</v>
      </c>
    </row>
    <row r="13" spans="2:22" ht="12.75" customHeight="1">
      <c r="B13" s="357" t="s">
        <v>352</v>
      </c>
      <c r="C13" s="205">
        <v>1294500</v>
      </c>
      <c r="D13" s="62"/>
      <c r="E13" s="153">
        <v>15000</v>
      </c>
      <c r="F13" s="63"/>
      <c r="G13" s="358">
        <f t="shared" ref="G13:G23" si="0">C13*0.1-E13</f>
        <v>114450</v>
      </c>
      <c r="H13" s="358">
        <f t="shared" ref="H13:H23" si="1">G13/6</f>
        <v>19075</v>
      </c>
      <c r="I13" s="358">
        <f t="shared" ref="I13:I23" si="2">C13*0.9</f>
        <v>1165050</v>
      </c>
      <c r="J13" s="358">
        <f t="shared" ref="J13:J23" si="3">PMT(13%/12,180,-I13)+L13/180</f>
        <v>15041.848314327979</v>
      </c>
      <c r="K13" s="282"/>
      <c r="L13" s="358">
        <v>54206</v>
      </c>
      <c r="O13" s="168" t="s">
        <v>267</v>
      </c>
      <c r="P13" s="168" t="s">
        <v>268</v>
      </c>
      <c r="Q13" s="168" t="s">
        <v>269</v>
      </c>
      <c r="R13" s="168" t="str">
        <f>R11</f>
        <v>Fixed Amt.</v>
      </c>
      <c r="S13" s="169">
        <v>12000</v>
      </c>
      <c r="T13" s="160"/>
      <c r="U13" s="232"/>
      <c r="V13" s="225">
        <f>S13</f>
        <v>12000</v>
      </c>
    </row>
    <row r="14" spans="2:22" ht="12.75" customHeight="1">
      <c r="B14" s="357" t="s">
        <v>353</v>
      </c>
      <c r="C14" s="147">
        <v>1396500</v>
      </c>
      <c r="D14" s="62"/>
      <c r="E14" s="153">
        <v>15000</v>
      </c>
      <c r="F14" s="63"/>
      <c r="G14" s="358">
        <f t="shared" si="0"/>
        <v>124650</v>
      </c>
      <c r="H14" s="358">
        <f t="shared" si="1"/>
        <v>20775</v>
      </c>
      <c r="I14" s="358">
        <f t="shared" si="2"/>
        <v>1256850</v>
      </c>
      <c r="J14" s="358">
        <f t="shared" si="3"/>
        <v>16221.757290556732</v>
      </c>
      <c r="K14" s="282"/>
      <c r="L14" s="358">
        <v>57521</v>
      </c>
      <c r="O14" s="168" t="s">
        <v>270</v>
      </c>
      <c r="P14" s="168" t="s">
        <v>256</v>
      </c>
      <c r="Q14" s="168" t="s">
        <v>269</v>
      </c>
      <c r="R14" s="168" t="str">
        <f>R13</f>
        <v>Fixed Amt.</v>
      </c>
      <c r="S14" s="169">
        <v>20</v>
      </c>
      <c r="T14" s="170"/>
      <c r="U14" s="232"/>
      <c r="V14" s="225">
        <f>S14</f>
        <v>20</v>
      </c>
    </row>
    <row r="15" spans="2:22" ht="12.75" customHeight="1">
      <c r="B15" s="357" t="s">
        <v>354</v>
      </c>
      <c r="C15" s="147">
        <v>1396500</v>
      </c>
      <c r="D15" s="62"/>
      <c r="E15" s="153">
        <v>15000</v>
      </c>
      <c r="F15" s="63"/>
      <c r="G15" s="358">
        <f t="shared" si="0"/>
        <v>124650</v>
      </c>
      <c r="H15" s="358">
        <f t="shared" si="1"/>
        <v>20775</v>
      </c>
      <c r="I15" s="358">
        <f t="shared" si="2"/>
        <v>1256850</v>
      </c>
      <c r="J15" s="358">
        <f t="shared" si="3"/>
        <v>16221.757290556732</v>
      </c>
      <c r="K15" s="282"/>
      <c r="L15" s="358">
        <v>57521</v>
      </c>
      <c r="O15" s="168" t="s">
        <v>271</v>
      </c>
      <c r="P15" s="168" t="s">
        <v>272</v>
      </c>
      <c r="Q15" s="168"/>
      <c r="R15" s="168"/>
      <c r="S15" s="171" t="s">
        <v>273</v>
      </c>
      <c r="T15" s="160"/>
      <c r="U15" s="232"/>
      <c r="V15" s="227">
        <f>V9*0.01</f>
        <v>12390</v>
      </c>
    </row>
    <row r="16" spans="2:22" ht="12.75" customHeight="1">
      <c r="B16" s="357" t="s">
        <v>355</v>
      </c>
      <c r="C16" s="147">
        <v>1260000</v>
      </c>
      <c r="D16" s="62"/>
      <c r="E16" s="153">
        <v>15000</v>
      </c>
      <c r="F16" s="63"/>
      <c r="G16" s="358">
        <f t="shared" si="0"/>
        <v>111000</v>
      </c>
      <c r="H16" s="358">
        <f t="shared" si="1"/>
        <v>18500</v>
      </c>
      <c r="I16" s="358">
        <f t="shared" si="2"/>
        <v>1134000</v>
      </c>
      <c r="J16" s="358">
        <f t="shared" si="3"/>
        <v>14642.762843610084</v>
      </c>
      <c r="K16" s="282"/>
      <c r="L16" s="358">
        <v>53085</v>
      </c>
      <c r="O16" s="160"/>
      <c r="P16" s="160"/>
      <c r="Q16" s="160"/>
      <c r="R16" s="160"/>
      <c r="S16" s="161"/>
      <c r="T16" s="160"/>
      <c r="U16" s="232"/>
      <c r="V16" s="235">
        <f>SUM(V10:V15)</f>
        <v>52402.5</v>
      </c>
    </row>
    <row r="17" spans="2:12" ht="12.75" customHeight="1">
      <c r="B17" s="357" t="s">
        <v>356</v>
      </c>
      <c r="C17" s="147">
        <v>1260000</v>
      </c>
      <c r="D17" s="62"/>
      <c r="E17" s="153">
        <v>15000</v>
      </c>
      <c r="F17" s="63"/>
      <c r="G17" s="358">
        <f t="shared" si="0"/>
        <v>111000</v>
      </c>
      <c r="H17" s="358">
        <f t="shared" si="1"/>
        <v>18500</v>
      </c>
      <c r="I17" s="358">
        <f t="shared" si="2"/>
        <v>1134000</v>
      </c>
      <c r="J17" s="358">
        <f t="shared" si="3"/>
        <v>14642.762843610084</v>
      </c>
      <c r="K17" s="282"/>
      <c r="L17" s="358">
        <v>53085</v>
      </c>
    </row>
    <row r="18" spans="2:12" ht="12.75" customHeight="1">
      <c r="B18" s="357" t="s">
        <v>357</v>
      </c>
      <c r="C18" s="147">
        <v>1207500</v>
      </c>
      <c r="D18" s="62"/>
      <c r="E18" s="153">
        <v>15000</v>
      </c>
      <c r="F18" s="63"/>
      <c r="G18" s="358">
        <f t="shared" si="0"/>
        <v>105750</v>
      </c>
      <c r="H18" s="358">
        <f t="shared" si="1"/>
        <v>17625</v>
      </c>
      <c r="I18" s="358">
        <f t="shared" si="2"/>
        <v>1086750</v>
      </c>
      <c r="J18" s="358">
        <f t="shared" si="3"/>
        <v>14035.458141792999</v>
      </c>
      <c r="K18" s="282"/>
      <c r="L18" s="358">
        <v>51379</v>
      </c>
    </row>
    <row r="19" spans="2:12" ht="12.75" customHeight="1">
      <c r="B19" s="357" t="s">
        <v>358</v>
      </c>
      <c r="C19" s="147">
        <v>1207500</v>
      </c>
      <c r="D19" s="62"/>
      <c r="E19" s="153">
        <v>15000</v>
      </c>
      <c r="F19" s="63"/>
      <c r="G19" s="358">
        <f t="shared" si="0"/>
        <v>105750</v>
      </c>
      <c r="H19" s="358">
        <f t="shared" si="1"/>
        <v>17625</v>
      </c>
      <c r="I19" s="358">
        <f t="shared" si="2"/>
        <v>1086750</v>
      </c>
      <c r="J19" s="358">
        <f t="shared" si="3"/>
        <v>14035.458141792999</v>
      </c>
      <c r="K19" s="282"/>
      <c r="L19" s="358">
        <v>51379</v>
      </c>
    </row>
    <row r="20" spans="2:12" ht="12.75" customHeight="1">
      <c r="B20" s="357" t="s">
        <v>359</v>
      </c>
      <c r="C20" s="147">
        <v>1207500</v>
      </c>
      <c r="D20" s="62"/>
      <c r="E20" s="153">
        <v>15000</v>
      </c>
      <c r="F20" s="63"/>
      <c r="G20" s="358">
        <f t="shared" si="0"/>
        <v>105750</v>
      </c>
      <c r="H20" s="358">
        <f t="shared" si="1"/>
        <v>17625</v>
      </c>
      <c r="I20" s="358">
        <f t="shared" si="2"/>
        <v>1086750</v>
      </c>
      <c r="J20" s="358">
        <f t="shared" si="3"/>
        <v>14035.458141792999</v>
      </c>
      <c r="K20" s="282"/>
      <c r="L20" s="358">
        <v>51379</v>
      </c>
    </row>
    <row r="21" spans="2:12" ht="12.75" customHeight="1">
      <c r="B21" s="357" t="s">
        <v>360</v>
      </c>
      <c r="C21" s="147">
        <v>1207500</v>
      </c>
      <c r="D21" s="62"/>
      <c r="E21" s="153">
        <v>15000</v>
      </c>
      <c r="F21" s="63"/>
      <c r="G21" s="358">
        <f t="shared" si="0"/>
        <v>105750</v>
      </c>
      <c r="H21" s="358">
        <f t="shared" si="1"/>
        <v>17625</v>
      </c>
      <c r="I21" s="358">
        <f t="shared" si="2"/>
        <v>1086750</v>
      </c>
      <c r="J21" s="358">
        <f t="shared" si="3"/>
        <v>14035.458141792999</v>
      </c>
      <c r="K21" s="282"/>
      <c r="L21" s="358">
        <v>51379</v>
      </c>
    </row>
    <row r="22" spans="2:12" ht="12.75" customHeight="1">
      <c r="B22" s="357" t="s">
        <v>361</v>
      </c>
      <c r="C22" s="147">
        <v>1239000</v>
      </c>
      <c r="D22" s="62"/>
      <c r="E22" s="153">
        <v>15000</v>
      </c>
      <c r="F22" s="63"/>
      <c r="G22" s="358">
        <f t="shared" si="0"/>
        <v>108900</v>
      </c>
      <c r="H22" s="358">
        <f t="shared" si="1"/>
        <v>18150</v>
      </c>
      <c r="I22" s="358">
        <f t="shared" si="2"/>
        <v>1115100</v>
      </c>
      <c r="J22" s="358">
        <f t="shared" si="3"/>
        <v>14399.843185105472</v>
      </c>
      <c r="K22" s="282"/>
      <c r="L22" s="358">
        <v>52403</v>
      </c>
    </row>
    <row r="23" spans="2:12" ht="12.75" customHeight="1">
      <c r="B23" s="354" t="s">
        <v>362</v>
      </c>
      <c r="C23" s="148">
        <v>1239000</v>
      </c>
      <c r="D23" s="62"/>
      <c r="E23" s="154">
        <v>15000</v>
      </c>
      <c r="F23" s="63"/>
      <c r="G23" s="304">
        <f t="shared" si="0"/>
        <v>108900</v>
      </c>
      <c r="H23" s="304">
        <f t="shared" si="1"/>
        <v>18150</v>
      </c>
      <c r="I23" s="304">
        <f t="shared" si="2"/>
        <v>1115100</v>
      </c>
      <c r="J23" s="304">
        <f t="shared" si="3"/>
        <v>14399.843185105472</v>
      </c>
      <c r="K23" s="282"/>
      <c r="L23" s="304">
        <v>52403</v>
      </c>
    </row>
    <row r="24" spans="2:12">
      <c r="B24" s="31"/>
      <c r="C24" s="62"/>
      <c r="D24" s="62"/>
      <c r="E24" s="62"/>
      <c r="F24" s="62"/>
      <c r="G24" s="282"/>
      <c r="H24" s="282"/>
      <c r="I24" s="282"/>
      <c r="J24" s="282"/>
      <c r="K24" s="282"/>
      <c r="L24" s="282"/>
    </row>
  </sheetData>
  <mergeCells count="15">
    <mergeCell ref="B2:L2"/>
    <mergeCell ref="B3:L3"/>
    <mergeCell ref="B4:L4"/>
    <mergeCell ref="B5:L5"/>
    <mergeCell ref="O9:P9"/>
    <mergeCell ref="L7:L10"/>
    <mergeCell ref="B7:B10"/>
    <mergeCell ref="C7:C10"/>
    <mergeCell ref="G8:G10"/>
    <mergeCell ref="H8:H10"/>
    <mergeCell ref="I8:I10"/>
    <mergeCell ref="J8:J10"/>
    <mergeCell ref="E7:E10"/>
    <mergeCell ref="G7:H7"/>
    <mergeCell ref="I7:J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499984740745262"/>
  </sheetPr>
  <dimension ref="B2:O21"/>
  <sheetViews>
    <sheetView zoomScaleNormal="100" workbookViewId="0">
      <selection activeCell="K23" sqref="K23"/>
    </sheetView>
  </sheetViews>
  <sheetFormatPr defaultRowHeight="12"/>
  <cols>
    <col min="1" max="1" width="2.140625" style="28" customWidth="1"/>
    <col min="2" max="2" width="6.85546875" style="173" customWidth="1"/>
    <col min="3" max="3" width="6.7109375" style="173" customWidth="1"/>
    <col min="4" max="4" width="4.28515625" style="173" customWidth="1"/>
    <col min="5" max="5" width="6.28515625" style="173" customWidth="1"/>
    <col min="6" max="6" width="9" style="173" bestFit="1" customWidth="1"/>
    <col min="7" max="7" width="7.28515625" style="28" customWidth="1"/>
    <col min="8" max="8" width="12" style="28" customWidth="1"/>
    <col min="9" max="9" width="10.42578125" style="28" customWidth="1"/>
    <col min="10" max="10" width="9" style="28" customWidth="1"/>
    <col min="11" max="11" width="6.5703125" style="28" customWidth="1"/>
    <col min="12" max="12" width="9.140625" style="28" customWidth="1"/>
    <col min="13" max="13" width="10.28515625" style="28" customWidth="1"/>
    <col min="14" max="14" width="1.85546875" style="28" customWidth="1"/>
    <col min="15" max="15" width="12.5703125" style="82" customWidth="1"/>
    <col min="16" max="16384" width="9.140625" style="28"/>
  </cols>
  <sheetData>
    <row r="2" spans="2:15">
      <c r="B2" s="174" t="s">
        <v>57</v>
      </c>
    </row>
    <row r="3" spans="2:15">
      <c r="B3" s="174" t="s">
        <v>297</v>
      </c>
    </row>
    <row r="4" spans="2:15">
      <c r="B4" s="174" t="s">
        <v>247</v>
      </c>
    </row>
    <row r="6" spans="2:15">
      <c r="B6" s="382" t="s">
        <v>0</v>
      </c>
      <c r="C6" s="383" t="s">
        <v>1</v>
      </c>
      <c r="D6" s="382" t="s">
        <v>2</v>
      </c>
      <c r="E6" s="383" t="s">
        <v>3</v>
      </c>
      <c r="F6" s="383" t="s">
        <v>4</v>
      </c>
      <c r="G6" s="382" t="s">
        <v>5</v>
      </c>
      <c r="H6" s="385" t="s">
        <v>299</v>
      </c>
      <c r="I6" s="386"/>
      <c r="J6" s="386"/>
      <c r="K6" s="386"/>
      <c r="L6" s="386"/>
      <c r="M6" s="386"/>
      <c r="O6" s="379" t="s">
        <v>306</v>
      </c>
    </row>
    <row r="7" spans="2:15">
      <c r="B7" s="382"/>
      <c r="C7" s="384"/>
      <c r="D7" s="382"/>
      <c r="E7" s="384"/>
      <c r="F7" s="384"/>
      <c r="G7" s="394"/>
      <c r="H7" s="193" t="s">
        <v>6</v>
      </c>
      <c r="I7" s="194" t="s">
        <v>26</v>
      </c>
      <c r="J7" s="387" t="s">
        <v>240</v>
      </c>
      <c r="K7" s="388"/>
      <c r="L7" s="389"/>
      <c r="M7" s="195"/>
      <c r="O7" s="380"/>
    </row>
    <row r="8" spans="2:15">
      <c r="B8" s="382"/>
      <c r="C8" s="384"/>
      <c r="D8" s="382"/>
      <c r="E8" s="384"/>
      <c r="F8" s="384"/>
      <c r="G8" s="382"/>
      <c r="H8" s="384" t="s">
        <v>238</v>
      </c>
      <c r="I8" s="383" t="s">
        <v>236</v>
      </c>
      <c r="J8" s="390" t="s">
        <v>241</v>
      </c>
      <c r="K8" s="392" t="s">
        <v>242</v>
      </c>
      <c r="L8" s="383" t="s">
        <v>243</v>
      </c>
      <c r="M8" s="395" t="s">
        <v>237</v>
      </c>
      <c r="O8" s="380"/>
    </row>
    <row r="9" spans="2:15" ht="48.75" customHeight="1">
      <c r="B9" s="383"/>
      <c r="C9" s="384"/>
      <c r="D9" s="383"/>
      <c r="E9" s="384"/>
      <c r="F9" s="384"/>
      <c r="G9" s="383"/>
      <c r="H9" s="384"/>
      <c r="I9" s="384"/>
      <c r="J9" s="391"/>
      <c r="K9" s="393"/>
      <c r="L9" s="384"/>
      <c r="M9" s="390"/>
      <c r="O9" s="381"/>
    </row>
    <row r="10" spans="2:15" s="40" customFormat="1">
      <c r="B10" s="175"/>
      <c r="C10" s="151"/>
      <c r="D10" s="176"/>
      <c r="E10" s="151"/>
      <c r="F10" s="176"/>
      <c r="G10" s="151"/>
      <c r="H10" s="151"/>
      <c r="I10" s="176"/>
      <c r="J10" s="151"/>
      <c r="K10" s="176"/>
      <c r="L10" s="151"/>
      <c r="M10" s="155"/>
      <c r="O10" s="237"/>
    </row>
    <row r="11" spans="2:15">
      <c r="B11" s="177">
        <v>2</v>
      </c>
      <c r="C11" s="178" t="s">
        <v>8</v>
      </c>
      <c r="D11" s="179">
        <v>173</v>
      </c>
      <c r="E11" s="180">
        <v>8000</v>
      </c>
      <c r="F11" s="181">
        <f t="shared" ref="F11:F12" si="0">D11*E11</f>
        <v>1384000</v>
      </c>
      <c r="G11" s="182">
        <v>8000</v>
      </c>
      <c r="H11" s="182">
        <f t="shared" ref="H11:H12" si="1">((F11-G11)+(F11*0.05))/36</f>
        <v>40144.444444444445</v>
      </c>
      <c r="I11" s="183">
        <f>(F11*0.3-G11)/24</f>
        <v>16966.666666666668</v>
      </c>
      <c r="J11" s="182">
        <f>(F11*0.2-G11)/22</f>
        <v>12218.181818181818</v>
      </c>
      <c r="K11" s="183">
        <f>(F11*0.05)</f>
        <v>69200</v>
      </c>
      <c r="L11" s="182">
        <f>F11*0.05</f>
        <v>69200</v>
      </c>
      <c r="M11" s="184">
        <f>F11*0.7+(F11*0.05)</f>
        <v>1037999.9999999999</v>
      </c>
      <c r="O11" s="238">
        <v>53855</v>
      </c>
    </row>
    <row r="12" spans="2:15">
      <c r="B12" s="185">
        <v>3</v>
      </c>
      <c r="C12" s="186" t="s">
        <v>9</v>
      </c>
      <c r="D12" s="187">
        <v>199</v>
      </c>
      <c r="E12" s="188">
        <v>8000</v>
      </c>
      <c r="F12" s="189">
        <f t="shared" si="0"/>
        <v>1592000</v>
      </c>
      <c r="G12" s="190">
        <v>8000</v>
      </c>
      <c r="H12" s="190">
        <f t="shared" si="1"/>
        <v>46211.111111111109</v>
      </c>
      <c r="I12" s="191">
        <f>(F12*0.3-G12)/24</f>
        <v>19566.666666666668</v>
      </c>
      <c r="J12" s="190">
        <f>(F12*0.2-G12)/22</f>
        <v>14109.09090909091</v>
      </c>
      <c r="K12" s="191">
        <f>(F12*0.05)</f>
        <v>79600</v>
      </c>
      <c r="L12" s="190">
        <f>F12*0.05</f>
        <v>79600</v>
      </c>
      <c r="M12" s="192">
        <f t="shared" ref="M12" si="2">F12*0.7+(F12*0.05)</f>
        <v>1194000</v>
      </c>
      <c r="O12" s="239">
        <v>48155</v>
      </c>
    </row>
    <row r="14" spans="2:15">
      <c r="E14" s="28"/>
      <c r="F14" s="28"/>
    </row>
    <row r="15" spans="2:15" s="45" customFormat="1" ht="11.25">
      <c r="B15" s="144"/>
      <c r="C15" s="45" t="s">
        <v>303</v>
      </c>
      <c r="E15" s="45" t="s">
        <v>239</v>
      </c>
      <c r="O15" s="84"/>
    </row>
    <row r="16" spans="2:15" s="45" customFormat="1" ht="11.25">
      <c r="B16" s="144"/>
      <c r="C16" s="144"/>
      <c r="E16" s="45" t="s">
        <v>307</v>
      </c>
      <c r="O16" s="84"/>
    </row>
    <row r="17" spans="2:15" s="45" customFormat="1" ht="11.25">
      <c r="B17" s="144"/>
      <c r="C17" s="144"/>
      <c r="E17" s="45" t="s">
        <v>10</v>
      </c>
      <c r="O17" s="84"/>
    </row>
    <row r="18" spans="2:15" s="45" customFormat="1" ht="11.25">
      <c r="B18" s="144"/>
      <c r="C18" s="144"/>
      <c r="D18" s="144"/>
      <c r="E18" s="45" t="s">
        <v>11</v>
      </c>
      <c r="O18" s="84"/>
    </row>
    <row r="19" spans="2:15" s="45" customFormat="1" ht="11.25">
      <c r="E19" s="45" t="s">
        <v>296</v>
      </c>
      <c r="O19" s="84"/>
    </row>
    <row r="20" spans="2:15" s="45" customFormat="1" ht="11.25">
      <c r="B20" s="144"/>
      <c r="C20" s="144"/>
      <c r="D20" s="144"/>
      <c r="E20" s="144"/>
      <c r="F20" s="144"/>
      <c r="O20" s="84"/>
    </row>
    <row r="21" spans="2:15" s="45" customFormat="1" ht="11.25">
      <c r="B21" s="144"/>
      <c r="C21" s="144"/>
      <c r="D21" s="144"/>
      <c r="E21" s="144"/>
      <c r="F21" s="144"/>
      <c r="O21" s="84"/>
    </row>
  </sheetData>
  <mergeCells count="15">
    <mergeCell ref="O6:O9"/>
    <mergeCell ref="B6:B9"/>
    <mergeCell ref="C6:C9"/>
    <mergeCell ref="D6:D9"/>
    <mergeCell ref="E6:E9"/>
    <mergeCell ref="H6:M6"/>
    <mergeCell ref="J7:L7"/>
    <mergeCell ref="H8:H9"/>
    <mergeCell ref="J8:J9"/>
    <mergeCell ref="K8:K9"/>
    <mergeCell ref="L8:L9"/>
    <mergeCell ref="G6:G9"/>
    <mergeCell ref="M8:M9"/>
    <mergeCell ref="I8:I9"/>
    <mergeCell ref="F6:F9"/>
  </mergeCells>
  <pageMargins left="0.7" right="0.7" top="0.75" bottom="0.75" header="0.3" footer="0.3"/>
  <pageSetup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-0.499984740745262"/>
  </sheetPr>
  <dimension ref="B2:L25"/>
  <sheetViews>
    <sheetView workbookViewId="0">
      <selection activeCell="L11" sqref="L11"/>
    </sheetView>
  </sheetViews>
  <sheetFormatPr defaultColWidth="4.7109375" defaultRowHeight="12"/>
  <cols>
    <col min="1" max="1" width="4.7109375" style="16"/>
    <col min="2" max="3" width="4.7109375" style="14"/>
    <col min="4" max="4" width="6.85546875" style="14" customWidth="1"/>
    <col min="5" max="5" width="10.42578125" style="251" customWidth="1"/>
    <col min="6" max="6" width="10.7109375" style="251" customWidth="1"/>
    <col min="7" max="7" width="9" style="15" bestFit="1" customWidth="1"/>
    <col min="8" max="8" width="11" style="15" bestFit="1" customWidth="1"/>
    <col min="9" max="9" width="11.140625" style="15" bestFit="1" customWidth="1"/>
    <col min="10" max="10" width="14.140625" style="15" customWidth="1"/>
    <col min="11" max="11" width="1.85546875" style="16" customWidth="1"/>
    <col min="12" max="12" width="12.28515625" style="241" customWidth="1"/>
    <col min="13" max="16384" width="4.7109375" style="16"/>
  </cols>
  <sheetData>
    <row r="2" spans="2:12">
      <c r="B2" s="13" t="s">
        <v>49</v>
      </c>
    </row>
    <row r="3" spans="2:12">
      <c r="B3" s="13" t="s">
        <v>297</v>
      </c>
    </row>
    <row r="4" spans="2:12">
      <c r="B4" s="13" t="s">
        <v>247</v>
      </c>
    </row>
    <row r="6" spans="2:12" s="17" customFormat="1" ht="12" customHeight="1">
      <c r="B6" s="408" t="s">
        <v>50</v>
      </c>
      <c r="C6" s="409" t="s">
        <v>51</v>
      </c>
      <c r="D6" s="409" t="s">
        <v>17</v>
      </c>
      <c r="E6" s="400" t="s">
        <v>53</v>
      </c>
      <c r="F6" s="403" t="s">
        <v>52</v>
      </c>
      <c r="G6" s="404" t="s">
        <v>299</v>
      </c>
      <c r="H6" s="405"/>
      <c r="I6" s="406"/>
      <c r="J6" s="396" t="s">
        <v>302</v>
      </c>
      <c r="L6" s="396" t="s">
        <v>306</v>
      </c>
    </row>
    <row r="7" spans="2:12" s="17" customFormat="1">
      <c r="B7" s="408"/>
      <c r="C7" s="409"/>
      <c r="D7" s="409"/>
      <c r="E7" s="401"/>
      <c r="F7" s="403"/>
      <c r="G7" s="407" t="s">
        <v>6</v>
      </c>
      <c r="H7" s="407"/>
      <c r="I7" s="145" t="s">
        <v>26</v>
      </c>
      <c r="J7" s="397"/>
      <c r="L7" s="397"/>
    </row>
    <row r="8" spans="2:12" s="18" customFormat="1" ht="35.25" customHeight="1">
      <c r="B8" s="408"/>
      <c r="C8" s="409"/>
      <c r="D8" s="409"/>
      <c r="E8" s="402"/>
      <c r="F8" s="403"/>
      <c r="G8" s="146" t="s">
        <v>298</v>
      </c>
      <c r="H8" s="146" t="s">
        <v>300</v>
      </c>
      <c r="I8" s="146" t="s">
        <v>301</v>
      </c>
      <c r="J8" s="398"/>
      <c r="L8" s="398"/>
    </row>
    <row r="9" spans="2:12" s="242" customFormat="1">
      <c r="B9" s="244"/>
      <c r="C9" s="244"/>
      <c r="D9" s="244"/>
      <c r="E9" s="258"/>
      <c r="F9" s="252"/>
      <c r="G9" s="244"/>
      <c r="H9" s="244"/>
      <c r="I9" s="245"/>
      <c r="J9" s="244"/>
      <c r="L9" s="248"/>
    </row>
    <row r="10" spans="2:12" s="241" customFormat="1">
      <c r="B10" s="20">
        <v>2</v>
      </c>
      <c r="C10" s="20">
        <v>11</v>
      </c>
      <c r="D10" s="20">
        <v>94</v>
      </c>
      <c r="E10" s="19">
        <f>D10*8000</f>
        <v>752000</v>
      </c>
      <c r="F10" s="253">
        <v>8000</v>
      </c>
      <c r="G10" s="246">
        <f>(E10*0.2-F10)/29</f>
        <v>4910.3448275862065</v>
      </c>
      <c r="H10" s="246">
        <f>E10*0.1</f>
        <v>75200</v>
      </c>
      <c r="I10" s="246">
        <f>(E10*0.3-F10)/30</f>
        <v>7253.333333333333</v>
      </c>
      <c r="J10" s="246">
        <f>E10*0.7</f>
        <v>526400</v>
      </c>
      <c r="L10" s="249">
        <v>34825</v>
      </c>
    </row>
    <row r="11" spans="2:12" s="241" customFormat="1">
      <c r="B11" s="20">
        <v>2</v>
      </c>
      <c r="C11" s="20">
        <v>12</v>
      </c>
      <c r="D11" s="20">
        <v>95</v>
      </c>
      <c r="E11" s="19">
        <f t="shared" ref="E11:E16" si="0">D11*8000</f>
        <v>760000</v>
      </c>
      <c r="F11" s="253">
        <v>8000</v>
      </c>
      <c r="G11" s="246">
        <f t="shared" ref="G11:G16" si="1">(E11*0.2-F11)/29</f>
        <v>4965.5172413793107</v>
      </c>
      <c r="H11" s="246">
        <f t="shared" ref="H11:H16" si="2">E11*0.1</f>
        <v>76000</v>
      </c>
      <c r="I11" s="246">
        <f>(E11*0.3-F11)/30</f>
        <v>7333.333333333333</v>
      </c>
      <c r="J11" s="246">
        <f t="shared" ref="J11:J16" si="3">E11*0.7</f>
        <v>532000</v>
      </c>
      <c r="L11" s="249">
        <v>35135</v>
      </c>
    </row>
    <row r="12" spans="2:12" s="241" customFormat="1">
      <c r="B12" s="20">
        <v>4</v>
      </c>
      <c r="C12" s="20">
        <v>2</v>
      </c>
      <c r="D12" s="20">
        <v>130</v>
      </c>
      <c r="E12" s="19">
        <f t="shared" si="0"/>
        <v>1040000</v>
      </c>
      <c r="F12" s="254">
        <v>8000</v>
      </c>
      <c r="G12" s="246">
        <f t="shared" si="1"/>
        <v>6896.5517241379312</v>
      </c>
      <c r="H12" s="246">
        <f t="shared" si="2"/>
        <v>104000</v>
      </c>
      <c r="I12" s="246">
        <f t="shared" ref="I12:I16" si="4">(E12*0.3-F12)/30</f>
        <v>10133.333333333334</v>
      </c>
      <c r="J12" s="246">
        <f t="shared" si="3"/>
        <v>728000</v>
      </c>
      <c r="L12" s="249">
        <v>43545</v>
      </c>
    </row>
    <row r="13" spans="2:12" s="241" customFormat="1">
      <c r="B13" s="20">
        <v>5</v>
      </c>
      <c r="C13" s="20">
        <v>4</v>
      </c>
      <c r="D13" s="20">
        <v>120</v>
      </c>
      <c r="E13" s="19">
        <f t="shared" si="0"/>
        <v>960000</v>
      </c>
      <c r="F13" s="254">
        <v>8000</v>
      </c>
      <c r="G13" s="246">
        <f t="shared" si="1"/>
        <v>6344.8275862068967</v>
      </c>
      <c r="H13" s="246">
        <f t="shared" si="2"/>
        <v>96000</v>
      </c>
      <c r="I13" s="246">
        <f t="shared" si="4"/>
        <v>9333.3333333333339</v>
      </c>
      <c r="J13" s="246">
        <f t="shared" si="3"/>
        <v>672000</v>
      </c>
      <c r="L13" s="249">
        <v>41135</v>
      </c>
    </row>
    <row r="14" spans="2:12" s="241" customFormat="1">
      <c r="B14" s="20">
        <v>6</v>
      </c>
      <c r="C14" s="20">
        <v>7</v>
      </c>
      <c r="D14" s="20">
        <v>101</v>
      </c>
      <c r="E14" s="19">
        <f t="shared" si="0"/>
        <v>808000</v>
      </c>
      <c r="F14" s="254">
        <v>8000</v>
      </c>
      <c r="G14" s="246">
        <f t="shared" si="1"/>
        <v>5296.5517241379312</v>
      </c>
      <c r="H14" s="246">
        <f t="shared" si="2"/>
        <v>80800</v>
      </c>
      <c r="I14" s="246">
        <f t="shared" si="4"/>
        <v>7813.333333333333</v>
      </c>
      <c r="J14" s="246">
        <f t="shared" si="3"/>
        <v>565600</v>
      </c>
      <c r="L14" s="249">
        <v>36575</v>
      </c>
    </row>
    <row r="15" spans="2:12" s="241" customFormat="1">
      <c r="B15" s="20">
        <v>7</v>
      </c>
      <c r="C15" s="20">
        <v>3</v>
      </c>
      <c r="D15" s="20">
        <v>100</v>
      </c>
      <c r="E15" s="19">
        <f t="shared" si="0"/>
        <v>800000</v>
      </c>
      <c r="F15" s="254">
        <v>8000</v>
      </c>
      <c r="G15" s="246">
        <f t="shared" si="1"/>
        <v>5241.3793103448279</v>
      </c>
      <c r="H15" s="246">
        <f t="shared" si="2"/>
        <v>80000</v>
      </c>
      <c r="I15" s="246">
        <f t="shared" si="4"/>
        <v>7733.333333333333</v>
      </c>
      <c r="J15" s="246">
        <f t="shared" si="3"/>
        <v>560000</v>
      </c>
      <c r="L15" s="249">
        <v>36335</v>
      </c>
    </row>
    <row r="16" spans="2:12" s="241" customFormat="1">
      <c r="B16" s="22">
        <v>8</v>
      </c>
      <c r="C16" s="22">
        <v>4</v>
      </c>
      <c r="D16" s="22">
        <v>100</v>
      </c>
      <c r="E16" s="21">
        <f t="shared" si="0"/>
        <v>800000</v>
      </c>
      <c r="F16" s="255">
        <v>8000</v>
      </c>
      <c r="G16" s="247">
        <f t="shared" si="1"/>
        <v>5241.3793103448279</v>
      </c>
      <c r="H16" s="247">
        <f t="shared" si="2"/>
        <v>80000</v>
      </c>
      <c r="I16" s="247">
        <f t="shared" si="4"/>
        <v>7733.333333333333</v>
      </c>
      <c r="J16" s="247">
        <f t="shared" si="3"/>
        <v>560000</v>
      </c>
      <c r="L16" s="250">
        <v>36335</v>
      </c>
    </row>
    <row r="17" spans="2:12">
      <c r="B17" s="23"/>
      <c r="C17" s="399"/>
      <c r="D17" s="399"/>
      <c r="E17" s="256"/>
      <c r="F17" s="256"/>
      <c r="G17" s="24"/>
      <c r="H17" s="24"/>
      <c r="I17" s="24"/>
      <c r="J17" s="24"/>
    </row>
    <row r="18" spans="2:12">
      <c r="J18" s="16"/>
    </row>
    <row r="19" spans="2:12" s="73" customFormat="1" ht="11.25">
      <c r="B19" s="219"/>
      <c r="C19" s="45" t="s">
        <v>304</v>
      </c>
      <c r="D19" s="45" t="s">
        <v>239</v>
      </c>
      <c r="E19" s="259"/>
      <c r="F19" s="257"/>
      <c r="G19" s="217"/>
      <c r="H19" s="217"/>
      <c r="I19" s="217"/>
      <c r="L19" s="243"/>
    </row>
    <row r="20" spans="2:12" s="73" customFormat="1" ht="11.25">
      <c r="B20" s="219"/>
      <c r="C20" s="219"/>
      <c r="D20" s="45" t="s">
        <v>307</v>
      </c>
      <c r="E20" s="259"/>
      <c r="F20" s="257"/>
      <c r="G20" s="217"/>
      <c r="H20" s="217"/>
      <c r="I20" s="217"/>
      <c r="L20" s="243"/>
    </row>
    <row r="21" spans="2:12" s="73" customFormat="1" ht="11.25">
      <c r="B21" s="219"/>
      <c r="C21" s="219"/>
      <c r="D21" s="45" t="s">
        <v>10</v>
      </c>
      <c r="E21" s="259"/>
      <c r="F21" s="257"/>
      <c r="G21" s="217"/>
      <c r="H21" s="217"/>
      <c r="I21" s="217"/>
      <c r="L21" s="243"/>
    </row>
    <row r="22" spans="2:12" s="73" customFormat="1" ht="11.25">
      <c r="B22" s="219"/>
      <c r="C22" s="219"/>
      <c r="D22" s="45" t="s">
        <v>11</v>
      </c>
      <c r="E22" s="259"/>
      <c r="F22" s="257"/>
      <c r="G22" s="217"/>
      <c r="H22" s="217"/>
      <c r="I22" s="217"/>
      <c r="L22" s="243"/>
    </row>
    <row r="23" spans="2:12" s="73" customFormat="1" ht="11.25">
      <c r="B23" s="219"/>
      <c r="C23" s="219"/>
      <c r="D23" s="45" t="s">
        <v>296</v>
      </c>
      <c r="E23" s="259"/>
      <c r="F23" s="257"/>
      <c r="G23" s="217"/>
      <c r="H23" s="217"/>
      <c r="I23" s="217"/>
      <c r="L23" s="243"/>
    </row>
    <row r="24" spans="2:12">
      <c r="J24" s="16"/>
    </row>
    <row r="25" spans="2:12">
      <c r="J25" s="16"/>
    </row>
  </sheetData>
  <mergeCells count="10">
    <mergeCell ref="B6:B8"/>
    <mergeCell ref="C6:C8"/>
    <mergeCell ref="D6:D8"/>
    <mergeCell ref="L6:L8"/>
    <mergeCell ref="C17:D17"/>
    <mergeCell ref="E6:E8"/>
    <mergeCell ref="F6:F8"/>
    <mergeCell ref="G6:I6"/>
    <mergeCell ref="J6:J8"/>
    <mergeCell ref="G7:H7"/>
  </mergeCells>
  <pageMargins left="0.7" right="0.7" top="0.75" bottom="0.75" header="0.3" footer="0.3"/>
  <pageSetup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V76"/>
  <sheetViews>
    <sheetView topLeftCell="A3" workbookViewId="0">
      <selection activeCell="Y7" sqref="Y7"/>
    </sheetView>
  </sheetViews>
  <sheetFormatPr defaultRowHeight="11.25"/>
  <cols>
    <col min="1" max="1" width="9.140625" style="1"/>
    <col min="2" max="2" width="4.28515625" style="2" customWidth="1"/>
    <col min="3" max="3" width="3.7109375" style="2" customWidth="1"/>
    <col min="4" max="4" width="7.7109375" style="2" bestFit="1" customWidth="1"/>
    <col min="5" max="5" width="6.7109375" style="1" customWidth="1"/>
    <col min="6" max="6" width="5.42578125" style="1" customWidth="1"/>
    <col min="7" max="7" width="3" style="1" customWidth="1"/>
    <col min="8" max="8" width="7.5703125" style="1" customWidth="1"/>
    <col min="9" max="9" width="10.7109375" style="1" customWidth="1"/>
    <col min="10" max="10" width="7.42578125" style="5" customWidth="1"/>
    <col min="11" max="11" width="9.28515625" style="5" customWidth="1"/>
    <col min="12" max="12" width="7" style="5" customWidth="1"/>
    <col min="13" max="13" width="7.85546875" style="5" hidden="1" customWidth="1"/>
    <col min="14" max="14" width="8" style="5" hidden="1" customWidth="1"/>
    <col min="15" max="15" width="7.42578125" style="5" hidden="1" customWidth="1"/>
    <col min="16" max="16" width="9" style="6" hidden="1" customWidth="1"/>
    <col min="17" max="17" width="7.85546875" style="1" hidden="1" customWidth="1"/>
    <col min="18" max="18" width="8.7109375" style="1" hidden="1" customWidth="1"/>
    <col min="19" max="19" width="11.85546875" style="1" customWidth="1"/>
    <col min="20" max="20" width="14.5703125" style="1" customWidth="1"/>
    <col min="21" max="21" width="10.28515625" style="1" customWidth="1"/>
    <col min="22" max="22" width="11.140625" style="1" bestFit="1" customWidth="1"/>
    <col min="23" max="16384" width="9.140625" style="1"/>
  </cols>
  <sheetData>
    <row r="1" spans="1:22">
      <c r="A1" s="3"/>
      <c r="B1" s="4" t="s">
        <v>12</v>
      </c>
    </row>
    <row r="2" spans="1:22">
      <c r="A2" s="3"/>
      <c r="B2" s="4" t="s">
        <v>13</v>
      </c>
    </row>
    <row r="3" spans="1:22">
      <c r="A3" s="3"/>
      <c r="B3" s="4" t="s">
        <v>14</v>
      </c>
    </row>
    <row r="4" spans="1:22">
      <c r="A4" s="3"/>
      <c r="B4" s="4" t="s">
        <v>54</v>
      </c>
    </row>
    <row r="5" spans="1:22" s="3" customFormat="1" ht="15" customHeight="1">
      <c r="B5" s="422" t="s">
        <v>15</v>
      </c>
      <c r="C5" s="422" t="s">
        <v>16</v>
      </c>
      <c r="D5" s="422" t="s">
        <v>17</v>
      </c>
      <c r="E5" s="422" t="s">
        <v>18</v>
      </c>
      <c r="F5" s="422" t="s">
        <v>19</v>
      </c>
      <c r="G5" s="422" t="s">
        <v>20</v>
      </c>
      <c r="H5" s="422" t="s">
        <v>21</v>
      </c>
      <c r="I5" s="424" t="s">
        <v>22</v>
      </c>
      <c r="J5" s="424" t="s">
        <v>23</v>
      </c>
      <c r="K5" s="424" t="s">
        <v>24</v>
      </c>
      <c r="L5" s="424" t="s">
        <v>25</v>
      </c>
      <c r="M5" s="423" t="s">
        <v>6</v>
      </c>
      <c r="N5" s="423"/>
      <c r="O5" s="410" t="s">
        <v>26</v>
      </c>
      <c r="P5" s="411"/>
      <c r="Q5" s="410" t="s">
        <v>7</v>
      </c>
      <c r="R5" s="411"/>
      <c r="S5" s="412" t="s">
        <v>6</v>
      </c>
      <c r="T5" s="413"/>
      <c r="U5" s="25" t="s">
        <v>26</v>
      </c>
    </row>
    <row r="6" spans="1:22" s="7" customFormat="1" ht="72" customHeight="1">
      <c r="B6" s="422"/>
      <c r="C6" s="422"/>
      <c r="D6" s="422"/>
      <c r="E6" s="422"/>
      <c r="F6" s="422"/>
      <c r="G6" s="422"/>
      <c r="H6" s="422"/>
      <c r="I6" s="424"/>
      <c r="J6" s="424"/>
      <c r="K6" s="424"/>
      <c r="L6" s="424"/>
      <c r="M6" s="414" t="s">
        <v>27</v>
      </c>
      <c r="N6" s="415"/>
      <c r="O6" s="416" t="s">
        <v>28</v>
      </c>
      <c r="P6" s="418" t="s">
        <v>29</v>
      </c>
      <c r="Q6" s="420" t="s">
        <v>30</v>
      </c>
      <c r="R6" s="420" t="s">
        <v>31</v>
      </c>
      <c r="S6" s="420" t="s">
        <v>244</v>
      </c>
      <c r="T6" s="422" t="s">
        <v>245</v>
      </c>
      <c r="U6" s="26" t="s">
        <v>246</v>
      </c>
    </row>
    <row r="7" spans="1:22">
      <c r="B7" s="422"/>
      <c r="C7" s="422"/>
      <c r="D7" s="422"/>
      <c r="E7" s="422"/>
      <c r="F7" s="422"/>
      <c r="G7" s="422"/>
      <c r="H7" s="422"/>
      <c r="I7" s="424"/>
      <c r="J7" s="424"/>
      <c r="K7" s="424"/>
      <c r="L7" s="424"/>
      <c r="M7" s="8" t="s">
        <v>33</v>
      </c>
      <c r="N7" s="8" t="s">
        <v>34</v>
      </c>
      <c r="O7" s="417"/>
      <c r="P7" s="419"/>
      <c r="Q7" s="421"/>
      <c r="R7" s="421"/>
      <c r="S7" s="421"/>
      <c r="T7" s="422"/>
      <c r="U7" s="27"/>
    </row>
    <row r="8" spans="1:22">
      <c r="B8" s="9">
        <v>1</v>
      </c>
      <c r="C8" s="9">
        <v>1</v>
      </c>
      <c r="D8" s="9">
        <v>423</v>
      </c>
      <c r="E8" s="10" t="s">
        <v>35</v>
      </c>
      <c r="F8" s="10" t="s">
        <v>19</v>
      </c>
      <c r="G8" s="10" t="s">
        <v>36</v>
      </c>
      <c r="H8" s="8">
        <v>2500</v>
      </c>
      <c r="I8" s="8">
        <f t="shared" ref="I8:I71" si="0">D8*H8</f>
        <v>1057500</v>
      </c>
      <c r="J8" s="8">
        <f>I8*0.05</f>
        <v>52875</v>
      </c>
      <c r="K8" s="8">
        <f>J8+I8</f>
        <v>1110375</v>
      </c>
      <c r="L8" s="8">
        <v>5000</v>
      </c>
      <c r="M8" s="8">
        <f>K8*0.05</f>
        <v>55518.75</v>
      </c>
      <c r="N8" s="8">
        <f>K8-M8</f>
        <v>1054856.25</v>
      </c>
      <c r="O8" s="8">
        <f>(K8*0.2-L8)/6</f>
        <v>36179.166666666664</v>
      </c>
      <c r="P8" s="11">
        <f>K8*0.8/36</f>
        <v>24675</v>
      </c>
      <c r="Q8" s="8">
        <f>K8*0.1</f>
        <v>111037.5</v>
      </c>
      <c r="R8" s="11">
        <f>(K8*0.7-L8)/39</f>
        <v>19801.602564102563</v>
      </c>
      <c r="S8" s="8">
        <f>(K8-L8)/60</f>
        <v>18422.916666666668</v>
      </c>
      <c r="T8" s="11">
        <f>K8*0.5/5</f>
        <v>111037.5</v>
      </c>
      <c r="U8" s="11">
        <f>(K8*0.5-L8)/55</f>
        <v>10003.40909090909</v>
      </c>
      <c r="V8" s="6"/>
    </row>
    <row r="9" spans="1:22">
      <c r="B9" s="9">
        <v>2</v>
      </c>
      <c r="C9" s="9">
        <v>1</v>
      </c>
      <c r="D9" s="9">
        <v>201</v>
      </c>
      <c r="E9" s="10" t="s">
        <v>35</v>
      </c>
      <c r="F9" s="10" t="s">
        <v>19</v>
      </c>
      <c r="G9" s="10" t="s">
        <v>36</v>
      </c>
      <c r="H9" s="8">
        <v>2500</v>
      </c>
      <c r="I9" s="8">
        <f t="shared" si="0"/>
        <v>502500</v>
      </c>
      <c r="J9" s="8">
        <f t="shared" ref="J9:J71" si="1">I9*0.05</f>
        <v>25125</v>
      </c>
      <c r="K9" s="8">
        <f t="shared" ref="K9:K71" si="2">J9+I9</f>
        <v>527625</v>
      </c>
      <c r="L9" s="8">
        <v>5000</v>
      </c>
      <c r="M9" s="8">
        <f t="shared" ref="M9:M71" si="3">K9*0.05</f>
        <v>26381.25</v>
      </c>
      <c r="N9" s="8">
        <f t="shared" ref="N9:N71" si="4">K9-M9</f>
        <v>501243.75</v>
      </c>
      <c r="O9" s="8">
        <f t="shared" ref="O9:O71" si="5">(K9*0.2-L9)/6</f>
        <v>16754.166666666668</v>
      </c>
      <c r="P9" s="11">
        <f t="shared" ref="P9:P71" si="6">K9*0.8/36</f>
        <v>11725</v>
      </c>
      <c r="Q9" s="8">
        <f t="shared" ref="Q9:Q71" si="7">K9*0.1</f>
        <v>52762.5</v>
      </c>
      <c r="R9" s="11">
        <f t="shared" ref="R9:R71" si="8">(K9*0.7-L9)/39</f>
        <v>9341.9871794871797</v>
      </c>
      <c r="S9" s="8">
        <f t="shared" ref="S9:S71" si="9">(K9-L9)/60</f>
        <v>8710.4166666666661</v>
      </c>
      <c r="T9" s="11">
        <f t="shared" ref="T9:T71" si="10">K9*0.5/5</f>
        <v>52762.5</v>
      </c>
      <c r="U9" s="11">
        <f t="shared" ref="U9:U71" si="11">(K9*0.5-L9)/55</f>
        <v>4705.681818181818</v>
      </c>
    </row>
    <row r="10" spans="1:22">
      <c r="B10" s="9">
        <v>2</v>
      </c>
      <c r="C10" s="9">
        <v>2</v>
      </c>
      <c r="D10" s="9">
        <v>240</v>
      </c>
      <c r="E10" s="10" t="s">
        <v>37</v>
      </c>
      <c r="F10" s="10" t="s">
        <v>19</v>
      </c>
      <c r="G10" s="10" t="s">
        <v>36</v>
      </c>
      <c r="H10" s="8">
        <v>2500</v>
      </c>
      <c r="I10" s="8">
        <f t="shared" si="0"/>
        <v>600000</v>
      </c>
      <c r="J10" s="8">
        <f t="shared" si="1"/>
        <v>30000</v>
      </c>
      <c r="K10" s="8">
        <f t="shared" si="2"/>
        <v>630000</v>
      </c>
      <c r="L10" s="8">
        <v>5000</v>
      </c>
      <c r="M10" s="8">
        <f t="shared" si="3"/>
        <v>31500</v>
      </c>
      <c r="N10" s="8">
        <f t="shared" si="4"/>
        <v>598500</v>
      </c>
      <c r="O10" s="8">
        <f t="shared" si="5"/>
        <v>20166.666666666668</v>
      </c>
      <c r="P10" s="11">
        <f t="shared" si="6"/>
        <v>14000</v>
      </c>
      <c r="Q10" s="8">
        <f t="shared" si="7"/>
        <v>63000</v>
      </c>
      <c r="R10" s="11">
        <f t="shared" si="8"/>
        <v>11179.48717948718</v>
      </c>
      <c r="S10" s="8">
        <f t="shared" si="9"/>
        <v>10416.666666666666</v>
      </c>
      <c r="T10" s="11">
        <f t="shared" si="10"/>
        <v>63000</v>
      </c>
      <c r="U10" s="11">
        <f t="shared" si="11"/>
        <v>5636.363636363636</v>
      </c>
    </row>
    <row r="11" spans="1:22">
      <c r="B11" s="9">
        <v>2</v>
      </c>
      <c r="C11" s="9">
        <v>3</v>
      </c>
      <c r="D11" s="9">
        <v>240</v>
      </c>
      <c r="E11" s="10" t="s">
        <v>37</v>
      </c>
      <c r="F11" s="10" t="s">
        <v>19</v>
      </c>
      <c r="G11" s="10" t="s">
        <v>36</v>
      </c>
      <c r="H11" s="8">
        <v>2500</v>
      </c>
      <c r="I11" s="8">
        <f t="shared" si="0"/>
        <v>600000</v>
      </c>
      <c r="J11" s="8">
        <f t="shared" si="1"/>
        <v>30000</v>
      </c>
      <c r="K11" s="8">
        <f t="shared" si="2"/>
        <v>630000</v>
      </c>
      <c r="L11" s="8">
        <v>5000</v>
      </c>
      <c r="M11" s="8">
        <f t="shared" si="3"/>
        <v>31500</v>
      </c>
      <c r="N11" s="8">
        <f t="shared" si="4"/>
        <v>598500</v>
      </c>
      <c r="O11" s="8">
        <f t="shared" si="5"/>
        <v>20166.666666666668</v>
      </c>
      <c r="P11" s="11">
        <f t="shared" si="6"/>
        <v>14000</v>
      </c>
      <c r="Q11" s="8">
        <f t="shared" si="7"/>
        <v>63000</v>
      </c>
      <c r="R11" s="11">
        <f t="shared" si="8"/>
        <v>11179.48717948718</v>
      </c>
      <c r="S11" s="8">
        <f t="shared" si="9"/>
        <v>10416.666666666666</v>
      </c>
      <c r="T11" s="11">
        <f t="shared" si="10"/>
        <v>63000</v>
      </c>
      <c r="U11" s="11">
        <f t="shared" si="11"/>
        <v>5636.363636363636</v>
      </c>
    </row>
    <row r="12" spans="1:22" ht="12" customHeight="1">
      <c r="B12" s="9">
        <v>2</v>
      </c>
      <c r="C12" s="9">
        <v>4</v>
      </c>
      <c r="D12" s="9">
        <v>369</v>
      </c>
      <c r="E12" s="10" t="s">
        <v>35</v>
      </c>
      <c r="F12" s="10" t="s">
        <v>19</v>
      </c>
      <c r="G12" s="10" t="s">
        <v>36</v>
      </c>
      <c r="H12" s="8">
        <v>2500</v>
      </c>
      <c r="I12" s="8">
        <f t="shared" si="0"/>
        <v>922500</v>
      </c>
      <c r="J12" s="8">
        <f t="shared" si="1"/>
        <v>46125</v>
      </c>
      <c r="K12" s="8">
        <f t="shared" si="2"/>
        <v>968625</v>
      </c>
      <c r="L12" s="8">
        <v>5000</v>
      </c>
      <c r="M12" s="8">
        <f t="shared" si="3"/>
        <v>48431.25</v>
      </c>
      <c r="N12" s="8">
        <f t="shared" si="4"/>
        <v>920193.75</v>
      </c>
      <c r="O12" s="8">
        <f t="shared" si="5"/>
        <v>31454.166666666668</v>
      </c>
      <c r="P12" s="11">
        <f t="shared" si="6"/>
        <v>21525</v>
      </c>
      <c r="Q12" s="8">
        <f t="shared" si="7"/>
        <v>96862.5</v>
      </c>
      <c r="R12" s="11">
        <f t="shared" si="8"/>
        <v>17257.371794871793</v>
      </c>
      <c r="S12" s="8">
        <f t="shared" si="9"/>
        <v>16060.416666666666</v>
      </c>
      <c r="T12" s="11">
        <f t="shared" si="10"/>
        <v>96862.5</v>
      </c>
      <c r="U12" s="11">
        <f t="shared" si="11"/>
        <v>8714.7727272727279</v>
      </c>
    </row>
    <row r="13" spans="1:22">
      <c r="B13" s="9">
        <v>3</v>
      </c>
      <c r="C13" s="9">
        <v>1</v>
      </c>
      <c r="D13" s="9">
        <v>383</v>
      </c>
      <c r="E13" s="10" t="s">
        <v>35</v>
      </c>
      <c r="F13" s="10" t="s">
        <v>19</v>
      </c>
      <c r="G13" s="10" t="s">
        <v>38</v>
      </c>
      <c r="H13" s="8">
        <v>2500</v>
      </c>
      <c r="I13" s="8">
        <f>D13*H13</f>
        <v>957500</v>
      </c>
      <c r="J13" s="8">
        <f t="shared" si="1"/>
        <v>47875</v>
      </c>
      <c r="K13" s="8">
        <f t="shared" si="2"/>
        <v>1005375</v>
      </c>
      <c r="L13" s="8">
        <v>5000</v>
      </c>
      <c r="M13" s="8">
        <f>K13*0.05</f>
        <v>50268.75</v>
      </c>
      <c r="N13" s="8">
        <f t="shared" si="4"/>
        <v>955106.25</v>
      </c>
      <c r="O13" s="8">
        <f t="shared" si="5"/>
        <v>32679.166666666668</v>
      </c>
      <c r="P13" s="11">
        <f t="shared" si="6"/>
        <v>22341.666666666668</v>
      </c>
      <c r="Q13" s="8">
        <f>K13*0.1</f>
        <v>100537.5</v>
      </c>
      <c r="R13" s="11">
        <f t="shared" si="8"/>
        <v>17916.98717948718</v>
      </c>
      <c r="S13" s="8">
        <f t="shared" si="9"/>
        <v>16672.916666666668</v>
      </c>
      <c r="T13" s="11">
        <f t="shared" si="10"/>
        <v>100537.5</v>
      </c>
      <c r="U13" s="11">
        <f t="shared" si="11"/>
        <v>9048.863636363636</v>
      </c>
    </row>
    <row r="14" spans="1:22">
      <c r="B14" s="9">
        <v>3</v>
      </c>
      <c r="C14" s="9">
        <v>2</v>
      </c>
      <c r="D14" s="9">
        <v>263</v>
      </c>
      <c r="E14" s="10" t="s">
        <v>37</v>
      </c>
      <c r="F14" s="10" t="s">
        <v>19</v>
      </c>
      <c r="G14" s="10" t="s">
        <v>39</v>
      </c>
      <c r="H14" s="8">
        <v>2500</v>
      </c>
      <c r="I14" s="8">
        <f t="shared" si="0"/>
        <v>657500</v>
      </c>
      <c r="J14" s="8">
        <f t="shared" si="1"/>
        <v>32875</v>
      </c>
      <c r="K14" s="8">
        <f t="shared" si="2"/>
        <v>690375</v>
      </c>
      <c r="L14" s="8">
        <v>5000</v>
      </c>
      <c r="M14" s="8">
        <f t="shared" si="3"/>
        <v>34518.75</v>
      </c>
      <c r="N14" s="8">
        <f t="shared" si="4"/>
        <v>655856.25</v>
      </c>
      <c r="O14" s="8">
        <f t="shared" si="5"/>
        <v>22179.166666666668</v>
      </c>
      <c r="P14" s="11">
        <f t="shared" si="6"/>
        <v>15341.666666666666</v>
      </c>
      <c r="Q14" s="8">
        <f t="shared" si="7"/>
        <v>69037.5</v>
      </c>
      <c r="R14" s="11">
        <f t="shared" si="8"/>
        <v>12263.141025641024</v>
      </c>
      <c r="S14" s="8">
        <f t="shared" si="9"/>
        <v>11422.916666666666</v>
      </c>
      <c r="T14" s="11">
        <f t="shared" si="10"/>
        <v>69037.5</v>
      </c>
      <c r="U14" s="11">
        <f t="shared" si="11"/>
        <v>6185.227272727273</v>
      </c>
    </row>
    <row r="15" spans="1:22">
      <c r="B15" s="9">
        <v>3</v>
      </c>
      <c r="C15" s="9">
        <v>3</v>
      </c>
      <c r="D15" s="9">
        <v>246</v>
      </c>
      <c r="E15" s="10" t="s">
        <v>37</v>
      </c>
      <c r="F15" s="10" t="s">
        <v>19</v>
      </c>
      <c r="G15" s="10" t="s">
        <v>39</v>
      </c>
      <c r="H15" s="8">
        <v>2500</v>
      </c>
      <c r="I15" s="8">
        <f t="shared" si="0"/>
        <v>615000</v>
      </c>
      <c r="J15" s="8">
        <f t="shared" si="1"/>
        <v>30750</v>
      </c>
      <c r="K15" s="8">
        <f t="shared" si="2"/>
        <v>645750</v>
      </c>
      <c r="L15" s="8">
        <v>5000</v>
      </c>
      <c r="M15" s="8">
        <f t="shared" si="3"/>
        <v>32287.5</v>
      </c>
      <c r="N15" s="8">
        <f t="shared" si="4"/>
        <v>613462.5</v>
      </c>
      <c r="O15" s="8">
        <f t="shared" si="5"/>
        <v>20691.666666666668</v>
      </c>
      <c r="P15" s="11">
        <f t="shared" si="6"/>
        <v>14350</v>
      </c>
      <c r="Q15" s="8">
        <f t="shared" si="7"/>
        <v>64575</v>
      </c>
      <c r="R15" s="11">
        <f t="shared" si="8"/>
        <v>11462.179487179486</v>
      </c>
      <c r="S15" s="8">
        <f t="shared" si="9"/>
        <v>10679.166666666666</v>
      </c>
      <c r="T15" s="11">
        <f t="shared" si="10"/>
        <v>64575</v>
      </c>
      <c r="U15" s="11">
        <f t="shared" si="11"/>
        <v>5779.545454545455</v>
      </c>
    </row>
    <row r="16" spans="1:22">
      <c r="B16" s="9">
        <v>3</v>
      </c>
      <c r="C16" s="9">
        <v>4</v>
      </c>
      <c r="D16" s="9">
        <v>237</v>
      </c>
      <c r="E16" s="10" t="s">
        <v>37</v>
      </c>
      <c r="F16" s="10" t="s">
        <v>19</v>
      </c>
      <c r="G16" s="10" t="s">
        <v>40</v>
      </c>
      <c r="H16" s="8">
        <v>2500</v>
      </c>
      <c r="I16" s="8">
        <f t="shared" si="0"/>
        <v>592500</v>
      </c>
      <c r="J16" s="8">
        <f t="shared" si="1"/>
        <v>29625</v>
      </c>
      <c r="K16" s="8">
        <f t="shared" si="2"/>
        <v>622125</v>
      </c>
      <c r="L16" s="8">
        <v>5000</v>
      </c>
      <c r="M16" s="8">
        <f t="shared" si="3"/>
        <v>31106.25</v>
      </c>
      <c r="N16" s="8">
        <f t="shared" si="4"/>
        <v>591018.75</v>
      </c>
      <c r="O16" s="8">
        <f t="shared" si="5"/>
        <v>19904.166666666668</v>
      </c>
      <c r="P16" s="11">
        <f t="shared" si="6"/>
        <v>13825</v>
      </c>
      <c r="Q16" s="8">
        <f t="shared" si="7"/>
        <v>62212.5</v>
      </c>
      <c r="R16" s="11">
        <f t="shared" si="8"/>
        <v>11038.141025641025</v>
      </c>
      <c r="S16" s="8">
        <f t="shared" si="9"/>
        <v>10285.416666666666</v>
      </c>
      <c r="T16" s="11">
        <f t="shared" si="10"/>
        <v>62212.5</v>
      </c>
      <c r="U16" s="11">
        <f t="shared" si="11"/>
        <v>5564.772727272727</v>
      </c>
    </row>
    <row r="17" spans="2:21">
      <c r="B17" s="9">
        <v>3</v>
      </c>
      <c r="C17" s="9">
        <v>5</v>
      </c>
      <c r="D17" s="9">
        <v>232</v>
      </c>
      <c r="E17" s="10" t="s">
        <v>37</v>
      </c>
      <c r="F17" s="10" t="s">
        <v>19</v>
      </c>
      <c r="G17" s="10" t="s">
        <v>39</v>
      </c>
      <c r="H17" s="8">
        <v>2500</v>
      </c>
      <c r="I17" s="8">
        <f t="shared" si="0"/>
        <v>580000</v>
      </c>
      <c r="J17" s="8">
        <f t="shared" si="1"/>
        <v>29000</v>
      </c>
      <c r="K17" s="8">
        <f t="shared" si="2"/>
        <v>609000</v>
      </c>
      <c r="L17" s="8">
        <v>5000</v>
      </c>
      <c r="M17" s="8">
        <f t="shared" si="3"/>
        <v>30450</v>
      </c>
      <c r="N17" s="8">
        <f t="shared" si="4"/>
        <v>578550</v>
      </c>
      <c r="O17" s="8">
        <f t="shared" si="5"/>
        <v>19466.666666666668</v>
      </c>
      <c r="P17" s="11">
        <f t="shared" si="6"/>
        <v>13533.333333333334</v>
      </c>
      <c r="Q17" s="8">
        <f t="shared" si="7"/>
        <v>60900</v>
      </c>
      <c r="R17" s="11">
        <f t="shared" si="8"/>
        <v>10802.564102564103</v>
      </c>
      <c r="S17" s="8">
        <f t="shared" si="9"/>
        <v>10066.666666666666</v>
      </c>
      <c r="T17" s="11">
        <f t="shared" si="10"/>
        <v>60900</v>
      </c>
      <c r="U17" s="11">
        <f t="shared" si="11"/>
        <v>5445.454545454545</v>
      </c>
    </row>
    <row r="18" spans="2:21">
      <c r="B18" s="9">
        <v>3</v>
      </c>
      <c r="C18" s="9">
        <v>6</v>
      </c>
      <c r="D18" s="9">
        <v>211</v>
      </c>
      <c r="E18" s="10" t="s">
        <v>35</v>
      </c>
      <c r="F18" s="10" t="s">
        <v>19</v>
      </c>
      <c r="G18" s="10" t="s">
        <v>40</v>
      </c>
      <c r="H18" s="8">
        <v>2500</v>
      </c>
      <c r="I18" s="8">
        <f t="shared" si="0"/>
        <v>527500</v>
      </c>
      <c r="J18" s="8">
        <f t="shared" si="1"/>
        <v>26375</v>
      </c>
      <c r="K18" s="8">
        <f t="shared" si="2"/>
        <v>553875</v>
      </c>
      <c r="L18" s="8">
        <v>5000</v>
      </c>
      <c r="M18" s="8">
        <f t="shared" si="3"/>
        <v>27693.75</v>
      </c>
      <c r="N18" s="8">
        <f t="shared" si="4"/>
        <v>526181.25</v>
      </c>
      <c r="O18" s="8" t="s">
        <v>41</v>
      </c>
      <c r="P18" s="11">
        <f t="shared" si="6"/>
        <v>12308.333333333334</v>
      </c>
      <c r="Q18" s="8">
        <f t="shared" si="7"/>
        <v>55387.5</v>
      </c>
      <c r="R18" s="11">
        <f t="shared" si="8"/>
        <v>9813.1410256410254</v>
      </c>
      <c r="S18" s="8">
        <f t="shared" si="9"/>
        <v>9147.9166666666661</v>
      </c>
      <c r="T18" s="11">
        <f t="shared" si="10"/>
        <v>55387.5</v>
      </c>
      <c r="U18" s="11">
        <f t="shared" si="11"/>
        <v>4944.318181818182</v>
      </c>
    </row>
    <row r="19" spans="2:21">
      <c r="B19" s="9">
        <v>3</v>
      </c>
      <c r="C19" s="9">
        <v>7</v>
      </c>
      <c r="D19" s="9">
        <v>265</v>
      </c>
      <c r="E19" s="10" t="s">
        <v>35</v>
      </c>
      <c r="F19" s="10" t="s">
        <v>19</v>
      </c>
      <c r="G19" s="10" t="s">
        <v>39</v>
      </c>
      <c r="H19" s="8">
        <v>2500</v>
      </c>
      <c r="I19" s="8">
        <f t="shared" si="0"/>
        <v>662500</v>
      </c>
      <c r="J19" s="8">
        <f t="shared" si="1"/>
        <v>33125</v>
      </c>
      <c r="K19" s="8">
        <f t="shared" si="2"/>
        <v>695625</v>
      </c>
      <c r="L19" s="8">
        <v>5000</v>
      </c>
      <c r="M19" s="8">
        <f t="shared" si="3"/>
        <v>34781.25</v>
      </c>
      <c r="N19" s="8">
        <f t="shared" si="4"/>
        <v>660843.75</v>
      </c>
      <c r="O19" s="8">
        <f t="shared" si="5"/>
        <v>22354.166666666668</v>
      </c>
      <c r="P19" s="11">
        <f t="shared" si="6"/>
        <v>15458.333333333334</v>
      </c>
      <c r="Q19" s="8">
        <f t="shared" si="7"/>
        <v>69562.5</v>
      </c>
      <c r="R19" s="11">
        <f t="shared" si="8"/>
        <v>12357.371794871793</v>
      </c>
      <c r="S19" s="8">
        <f t="shared" si="9"/>
        <v>11510.416666666666</v>
      </c>
      <c r="T19" s="11">
        <f t="shared" si="10"/>
        <v>69562.5</v>
      </c>
      <c r="U19" s="11">
        <f t="shared" si="11"/>
        <v>6232.954545454545</v>
      </c>
    </row>
    <row r="20" spans="2:21">
      <c r="B20" s="9">
        <v>4</v>
      </c>
      <c r="C20" s="9">
        <v>1</v>
      </c>
      <c r="D20" s="9">
        <v>471</v>
      </c>
      <c r="E20" s="10" t="s">
        <v>35</v>
      </c>
      <c r="F20" s="10" t="s">
        <v>19</v>
      </c>
      <c r="G20" s="10" t="s">
        <v>40</v>
      </c>
      <c r="H20" s="8">
        <v>2500</v>
      </c>
      <c r="I20" s="8">
        <f t="shared" si="0"/>
        <v>1177500</v>
      </c>
      <c r="J20" s="8">
        <f t="shared" si="1"/>
        <v>58875</v>
      </c>
      <c r="K20" s="8">
        <f t="shared" si="2"/>
        <v>1236375</v>
      </c>
      <c r="L20" s="8">
        <v>5000</v>
      </c>
      <c r="M20" s="8">
        <f t="shared" si="3"/>
        <v>61818.75</v>
      </c>
      <c r="N20" s="8">
        <f t="shared" si="4"/>
        <v>1174556.25</v>
      </c>
      <c r="O20" s="8">
        <f t="shared" si="5"/>
        <v>40379.166666666664</v>
      </c>
      <c r="P20" s="11">
        <f t="shared" si="6"/>
        <v>27475</v>
      </c>
      <c r="Q20" s="8">
        <f t="shared" si="7"/>
        <v>123637.5</v>
      </c>
      <c r="R20" s="11">
        <f t="shared" si="8"/>
        <v>22063.141025641027</v>
      </c>
      <c r="S20" s="8">
        <f t="shared" si="9"/>
        <v>20522.916666666668</v>
      </c>
      <c r="T20" s="11">
        <f t="shared" si="10"/>
        <v>123637.5</v>
      </c>
      <c r="U20" s="11">
        <f t="shared" si="11"/>
        <v>11148.863636363636</v>
      </c>
    </row>
    <row r="21" spans="2:21">
      <c r="B21" s="9">
        <v>5</v>
      </c>
      <c r="C21" s="9">
        <v>1</v>
      </c>
      <c r="D21" s="9">
        <v>899</v>
      </c>
      <c r="E21" s="10" t="s">
        <v>35</v>
      </c>
      <c r="F21" s="10" t="s">
        <v>19</v>
      </c>
      <c r="G21" s="10" t="s">
        <v>39</v>
      </c>
      <c r="H21" s="8">
        <v>2500</v>
      </c>
      <c r="I21" s="8">
        <f t="shared" si="0"/>
        <v>2247500</v>
      </c>
      <c r="J21" s="8">
        <f t="shared" si="1"/>
        <v>112375</v>
      </c>
      <c r="K21" s="8">
        <f t="shared" si="2"/>
        <v>2359875</v>
      </c>
      <c r="L21" s="8">
        <v>5000</v>
      </c>
      <c r="M21" s="8">
        <f t="shared" si="3"/>
        <v>117993.75</v>
      </c>
      <c r="N21" s="8">
        <f t="shared" si="4"/>
        <v>2241881.25</v>
      </c>
      <c r="O21" s="8">
        <f t="shared" si="5"/>
        <v>77829.166666666672</v>
      </c>
      <c r="P21" s="11">
        <f t="shared" si="6"/>
        <v>52441.666666666664</v>
      </c>
      <c r="Q21" s="8">
        <f t="shared" si="7"/>
        <v>235987.5</v>
      </c>
      <c r="R21" s="11">
        <f t="shared" si="8"/>
        <v>42228.525641025641</v>
      </c>
      <c r="S21" s="8">
        <f t="shared" si="9"/>
        <v>39247.916666666664</v>
      </c>
      <c r="T21" s="11">
        <f t="shared" si="10"/>
        <v>235987.5</v>
      </c>
      <c r="U21" s="11">
        <f t="shared" si="11"/>
        <v>21362.5</v>
      </c>
    </row>
    <row r="22" spans="2:21">
      <c r="B22" s="9">
        <v>5</v>
      </c>
      <c r="C22" s="9">
        <v>2</v>
      </c>
      <c r="D22" s="9">
        <v>366</v>
      </c>
      <c r="E22" s="10" t="s">
        <v>37</v>
      </c>
      <c r="F22" s="10" t="s">
        <v>19</v>
      </c>
      <c r="G22" s="10" t="s">
        <v>40</v>
      </c>
      <c r="H22" s="8">
        <v>2500</v>
      </c>
      <c r="I22" s="8">
        <f t="shared" si="0"/>
        <v>915000</v>
      </c>
      <c r="J22" s="8">
        <f t="shared" si="1"/>
        <v>45750</v>
      </c>
      <c r="K22" s="8">
        <f t="shared" si="2"/>
        <v>960750</v>
      </c>
      <c r="L22" s="8">
        <v>5000</v>
      </c>
      <c r="M22" s="8">
        <f t="shared" si="3"/>
        <v>48037.5</v>
      </c>
      <c r="N22" s="8">
        <f t="shared" si="4"/>
        <v>912712.5</v>
      </c>
      <c r="O22" s="8">
        <f t="shared" si="5"/>
        <v>31191.666666666668</v>
      </c>
      <c r="P22" s="11">
        <f t="shared" si="6"/>
        <v>21350</v>
      </c>
      <c r="Q22" s="8">
        <f t="shared" si="7"/>
        <v>96075</v>
      </c>
      <c r="R22" s="11">
        <f t="shared" si="8"/>
        <v>17116.025641025641</v>
      </c>
      <c r="S22" s="8">
        <f t="shared" si="9"/>
        <v>15929.166666666666</v>
      </c>
      <c r="T22" s="11">
        <f t="shared" si="10"/>
        <v>96075</v>
      </c>
      <c r="U22" s="11">
        <f t="shared" si="11"/>
        <v>8643.181818181818</v>
      </c>
    </row>
    <row r="23" spans="2:21">
      <c r="B23" s="9">
        <v>5</v>
      </c>
      <c r="C23" s="9">
        <v>3</v>
      </c>
      <c r="D23" s="9">
        <v>289</v>
      </c>
      <c r="E23" s="10" t="s">
        <v>37</v>
      </c>
      <c r="F23" s="10" t="s">
        <v>19</v>
      </c>
      <c r="G23" s="10" t="s">
        <v>39</v>
      </c>
      <c r="H23" s="8">
        <v>2500</v>
      </c>
      <c r="I23" s="8">
        <f t="shared" si="0"/>
        <v>722500</v>
      </c>
      <c r="J23" s="8">
        <f t="shared" si="1"/>
        <v>36125</v>
      </c>
      <c r="K23" s="8">
        <f t="shared" si="2"/>
        <v>758625</v>
      </c>
      <c r="L23" s="8">
        <v>5000</v>
      </c>
      <c r="M23" s="8">
        <f t="shared" si="3"/>
        <v>37931.25</v>
      </c>
      <c r="N23" s="8">
        <f t="shared" si="4"/>
        <v>720693.75</v>
      </c>
      <c r="O23" s="8">
        <f t="shared" si="5"/>
        <v>24454.166666666668</v>
      </c>
      <c r="P23" s="11">
        <f t="shared" si="6"/>
        <v>16858.333333333332</v>
      </c>
      <c r="Q23" s="8">
        <f t="shared" si="7"/>
        <v>75862.5</v>
      </c>
      <c r="R23" s="11">
        <f t="shared" si="8"/>
        <v>13488.141025641025</v>
      </c>
      <c r="S23" s="8">
        <f t="shared" si="9"/>
        <v>12560.416666666666</v>
      </c>
      <c r="T23" s="11">
        <f t="shared" si="10"/>
        <v>75862.5</v>
      </c>
      <c r="U23" s="11">
        <f t="shared" si="11"/>
        <v>6805.681818181818</v>
      </c>
    </row>
    <row r="24" spans="2:21">
      <c r="B24" s="9">
        <v>5</v>
      </c>
      <c r="C24" s="9">
        <v>4</v>
      </c>
      <c r="D24" s="9">
        <v>250</v>
      </c>
      <c r="E24" s="10" t="s">
        <v>37</v>
      </c>
      <c r="F24" s="10" t="s">
        <v>19</v>
      </c>
      <c r="G24" s="10" t="s">
        <v>39</v>
      </c>
      <c r="H24" s="8">
        <v>2500</v>
      </c>
      <c r="I24" s="8">
        <f t="shared" si="0"/>
        <v>625000</v>
      </c>
      <c r="J24" s="8">
        <f t="shared" si="1"/>
        <v>31250</v>
      </c>
      <c r="K24" s="8">
        <f t="shared" si="2"/>
        <v>656250</v>
      </c>
      <c r="L24" s="8">
        <v>5000</v>
      </c>
      <c r="M24" s="8">
        <f t="shared" si="3"/>
        <v>32812.5</v>
      </c>
      <c r="N24" s="8">
        <f t="shared" si="4"/>
        <v>623437.5</v>
      </c>
      <c r="O24" s="8">
        <f t="shared" si="5"/>
        <v>21041.666666666668</v>
      </c>
      <c r="P24" s="11">
        <f t="shared" si="6"/>
        <v>14583.333333333334</v>
      </c>
      <c r="Q24" s="8">
        <f t="shared" si="7"/>
        <v>65625</v>
      </c>
      <c r="R24" s="11">
        <f t="shared" si="8"/>
        <v>11650.641025641024</v>
      </c>
      <c r="S24" s="8">
        <f t="shared" si="9"/>
        <v>10854.166666666666</v>
      </c>
      <c r="T24" s="11">
        <f t="shared" si="10"/>
        <v>65625</v>
      </c>
      <c r="U24" s="11">
        <f t="shared" si="11"/>
        <v>5875</v>
      </c>
    </row>
    <row r="25" spans="2:21">
      <c r="B25" s="9">
        <v>5</v>
      </c>
      <c r="C25" s="9">
        <v>5</v>
      </c>
      <c r="D25" s="9">
        <v>224</v>
      </c>
      <c r="E25" s="10" t="s">
        <v>37</v>
      </c>
      <c r="F25" s="10" t="s">
        <v>19</v>
      </c>
      <c r="G25" s="10" t="s">
        <v>39</v>
      </c>
      <c r="H25" s="8">
        <v>2500</v>
      </c>
      <c r="I25" s="8">
        <f t="shared" si="0"/>
        <v>560000</v>
      </c>
      <c r="J25" s="8">
        <f t="shared" si="1"/>
        <v>28000</v>
      </c>
      <c r="K25" s="8">
        <f t="shared" si="2"/>
        <v>588000</v>
      </c>
      <c r="L25" s="8">
        <v>5000</v>
      </c>
      <c r="M25" s="8">
        <f t="shared" si="3"/>
        <v>29400</v>
      </c>
      <c r="N25" s="8">
        <f t="shared" si="4"/>
        <v>558600</v>
      </c>
      <c r="O25" s="8">
        <f t="shared" si="5"/>
        <v>18766.666666666668</v>
      </c>
      <c r="P25" s="11">
        <f t="shared" si="6"/>
        <v>13066.666666666666</v>
      </c>
      <c r="Q25" s="8">
        <f t="shared" si="7"/>
        <v>58800</v>
      </c>
      <c r="R25" s="11">
        <f t="shared" si="8"/>
        <v>10425.641025641025</v>
      </c>
      <c r="S25" s="8">
        <f t="shared" si="9"/>
        <v>9716.6666666666661</v>
      </c>
      <c r="T25" s="11">
        <f t="shared" si="10"/>
        <v>58800</v>
      </c>
      <c r="U25" s="11">
        <f t="shared" si="11"/>
        <v>5254.545454545455</v>
      </c>
    </row>
    <row r="26" spans="2:21">
      <c r="B26" s="9">
        <v>5</v>
      </c>
      <c r="C26" s="9">
        <v>6</v>
      </c>
      <c r="D26" s="9">
        <v>645</v>
      </c>
      <c r="E26" s="10" t="s">
        <v>35</v>
      </c>
      <c r="F26" s="10" t="s">
        <v>19</v>
      </c>
      <c r="G26" s="10" t="s">
        <v>40</v>
      </c>
      <c r="H26" s="8">
        <v>2500</v>
      </c>
      <c r="I26" s="8">
        <f t="shared" si="0"/>
        <v>1612500</v>
      </c>
      <c r="J26" s="8">
        <f t="shared" si="1"/>
        <v>80625</v>
      </c>
      <c r="K26" s="8">
        <f t="shared" si="2"/>
        <v>1693125</v>
      </c>
      <c r="L26" s="8">
        <v>5000</v>
      </c>
      <c r="M26" s="8">
        <f t="shared" si="3"/>
        <v>84656.25</v>
      </c>
      <c r="N26" s="8">
        <f t="shared" si="4"/>
        <v>1608468.75</v>
      </c>
      <c r="O26" s="8">
        <f t="shared" si="5"/>
        <v>55604.166666666664</v>
      </c>
      <c r="P26" s="11">
        <f t="shared" si="6"/>
        <v>37625</v>
      </c>
      <c r="Q26" s="8">
        <f t="shared" si="7"/>
        <v>169312.5</v>
      </c>
      <c r="R26" s="11">
        <f t="shared" si="8"/>
        <v>30261.217948717949</v>
      </c>
      <c r="S26" s="8">
        <f t="shared" si="9"/>
        <v>28135.416666666668</v>
      </c>
      <c r="T26" s="11">
        <f t="shared" si="10"/>
        <v>169312.5</v>
      </c>
      <c r="U26" s="11">
        <f t="shared" si="11"/>
        <v>15301.136363636364</v>
      </c>
    </row>
    <row r="27" spans="2:21">
      <c r="B27" s="9">
        <v>5</v>
      </c>
      <c r="C27" s="9">
        <v>7</v>
      </c>
      <c r="D27" s="9">
        <v>300</v>
      </c>
      <c r="E27" s="10" t="s">
        <v>37</v>
      </c>
      <c r="F27" s="10" t="s">
        <v>19</v>
      </c>
      <c r="G27" s="10" t="s">
        <v>40</v>
      </c>
      <c r="H27" s="8">
        <v>2500</v>
      </c>
      <c r="I27" s="8">
        <f t="shared" si="0"/>
        <v>750000</v>
      </c>
      <c r="J27" s="8">
        <f t="shared" si="1"/>
        <v>37500</v>
      </c>
      <c r="K27" s="8">
        <f t="shared" si="2"/>
        <v>787500</v>
      </c>
      <c r="L27" s="8">
        <v>5000</v>
      </c>
      <c r="M27" s="8">
        <f t="shared" si="3"/>
        <v>39375</v>
      </c>
      <c r="N27" s="8">
        <f t="shared" si="4"/>
        <v>748125</v>
      </c>
      <c r="O27" s="8">
        <f t="shared" si="5"/>
        <v>25416.666666666668</v>
      </c>
      <c r="P27" s="11">
        <f t="shared" si="6"/>
        <v>17500</v>
      </c>
      <c r="Q27" s="8">
        <f t="shared" si="7"/>
        <v>78750</v>
      </c>
      <c r="R27" s="11">
        <f t="shared" si="8"/>
        <v>14006.410256410256</v>
      </c>
      <c r="S27" s="8">
        <f t="shared" si="9"/>
        <v>13041.666666666666</v>
      </c>
      <c r="T27" s="11">
        <f t="shared" si="10"/>
        <v>78750</v>
      </c>
      <c r="U27" s="11">
        <f t="shared" si="11"/>
        <v>7068.181818181818</v>
      </c>
    </row>
    <row r="28" spans="2:21">
      <c r="B28" s="9">
        <v>5</v>
      </c>
      <c r="C28" s="9">
        <v>8</v>
      </c>
      <c r="D28" s="9">
        <v>300</v>
      </c>
      <c r="E28" s="10" t="s">
        <v>37</v>
      </c>
      <c r="F28" s="10" t="s">
        <v>19</v>
      </c>
      <c r="G28" s="10" t="s">
        <v>40</v>
      </c>
      <c r="H28" s="8">
        <v>2500</v>
      </c>
      <c r="I28" s="8">
        <f t="shared" si="0"/>
        <v>750000</v>
      </c>
      <c r="J28" s="8">
        <f t="shared" si="1"/>
        <v>37500</v>
      </c>
      <c r="K28" s="8">
        <f t="shared" si="2"/>
        <v>787500</v>
      </c>
      <c r="L28" s="8">
        <v>5000</v>
      </c>
      <c r="M28" s="8">
        <f t="shared" si="3"/>
        <v>39375</v>
      </c>
      <c r="N28" s="8">
        <f t="shared" si="4"/>
        <v>748125</v>
      </c>
      <c r="O28" s="8">
        <f t="shared" si="5"/>
        <v>25416.666666666668</v>
      </c>
      <c r="P28" s="11">
        <f t="shared" si="6"/>
        <v>17500</v>
      </c>
      <c r="Q28" s="8">
        <f t="shared" si="7"/>
        <v>78750</v>
      </c>
      <c r="R28" s="11">
        <f t="shared" si="8"/>
        <v>14006.410256410256</v>
      </c>
      <c r="S28" s="8">
        <f t="shared" si="9"/>
        <v>13041.666666666666</v>
      </c>
      <c r="T28" s="11">
        <f t="shared" si="10"/>
        <v>78750</v>
      </c>
      <c r="U28" s="11">
        <f t="shared" si="11"/>
        <v>7068.181818181818</v>
      </c>
    </row>
    <row r="29" spans="2:21">
      <c r="B29" s="9">
        <v>5</v>
      </c>
      <c r="C29" s="9">
        <v>9</v>
      </c>
      <c r="D29" s="9">
        <v>353</v>
      </c>
      <c r="E29" s="10" t="s">
        <v>37</v>
      </c>
      <c r="F29" s="10" t="s">
        <v>19</v>
      </c>
      <c r="G29" s="10" t="s">
        <v>40</v>
      </c>
      <c r="H29" s="8">
        <v>2500</v>
      </c>
      <c r="I29" s="8">
        <f t="shared" si="0"/>
        <v>882500</v>
      </c>
      <c r="J29" s="8">
        <f t="shared" si="1"/>
        <v>44125</v>
      </c>
      <c r="K29" s="8">
        <f t="shared" si="2"/>
        <v>926625</v>
      </c>
      <c r="L29" s="8">
        <v>5000</v>
      </c>
      <c r="M29" s="8">
        <f t="shared" si="3"/>
        <v>46331.25</v>
      </c>
      <c r="N29" s="8">
        <f t="shared" si="4"/>
        <v>880293.75</v>
      </c>
      <c r="O29" s="8">
        <f t="shared" si="5"/>
        <v>30054.166666666668</v>
      </c>
      <c r="P29" s="11">
        <f t="shared" si="6"/>
        <v>20591.666666666668</v>
      </c>
      <c r="Q29" s="8">
        <f t="shared" si="7"/>
        <v>92662.5</v>
      </c>
      <c r="R29" s="11">
        <f t="shared" si="8"/>
        <v>16503.525641025641</v>
      </c>
      <c r="S29" s="8">
        <f t="shared" si="9"/>
        <v>15360.416666666666</v>
      </c>
      <c r="T29" s="11">
        <f t="shared" si="10"/>
        <v>92662.5</v>
      </c>
      <c r="U29" s="11">
        <f t="shared" si="11"/>
        <v>8332.954545454546</v>
      </c>
    </row>
    <row r="30" spans="2:21">
      <c r="B30" s="9">
        <v>5</v>
      </c>
      <c r="C30" s="9">
        <v>10</v>
      </c>
      <c r="D30" s="9">
        <v>4443</v>
      </c>
      <c r="E30" s="10" t="s">
        <v>37</v>
      </c>
      <c r="F30" s="10" t="s">
        <v>19</v>
      </c>
      <c r="G30" s="10" t="s">
        <v>42</v>
      </c>
      <c r="H30" s="8">
        <v>2500</v>
      </c>
      <c r="I30" s="8">
        <f t="shared" si="0"/>
        <v>11107500</v>
      </c>
      <c r="J30" s="8">
        <f t="shared" si="1"/>
        <v>555375</v>
      </c>
      <c r="K30" s="8">
        <f t="shared" si="2"/>
        <v>11662875</v>
      </c>
      <c r="L30" s="8">
        <v>5000</v>
      </c>
      <c r="M30" s="8">
        <f t="shared" si="3"/>
        <v>583143.75</v>
      </c>
      <c r="N30" s="8">
        <f t="shared" si="4"/>
        <v>11079731.25</v>
      </c>
      <c r="O30" s="8">
        <f t="shared" si="5"/>
        <v>387929.16666666669</v>
      </c>
      <c r="P30" s="11">
        <f t="shared" si="6"/>
        <v>259175</v>
      </c>
      <c r="Q30" s="8">
        <f t="shared" si="7"/>
        <v>1166287.5</v>
      </c>
      <c r="R30" s="11">
        <f t="shared" si="8"/>
        <v>209205.44871794869</v>
      </c>
      <c r="S30" s="8">
        <f t="shared" si="9"/>
        <v>194297.91666666666</v>
      </c>
      <c r="T30" s="11">
        <f t="shared" si="10"/>
        <v>1166287.5</v>
      </c>
      <c r="U30" s="11">
        <f t="shared" si="11"/>
        <v>105935.22727272728</v>
      </c>
    </row>
    <row r="31" spans="2:21">
      <c r="B31" s="9">
        <v>6</v>
      </c>
      <c r="C31" s="9">
        <v>1</v>
      </c>
      <c r="D31" s="9">
        <v>273</v>
      </c>
      <c r="E31" s="10" t="s">
        <v>35</v>
      </c>
      <c r="F31" s="10" t="s">
        <v>19</v>
      </c>
      <c r="G31" s="10" t="s">
        <v>39</v>
      </c>
      <c r="H31" s="8">
        <v>2500</v>
      </c>
      <c r="I31" s="8">
        <f t="shared" si="0"/>
        <v>682500</v>
      </c>
      <c r="J31" s="8">
        <f t="shared" si="1"/>
        <v>34125</v>
      </c>
      <c r="K31" s="8">
        <f t="shared" si="2"/>
        <v>716625</v>
      </c>
      <c r="L31" s="8">
        <v>5000</v>
      </c>
      <c r="M31" s="8">
        <f t="shared" si="3"/>
        <v>35831.25</v>
      </c>
      <c r="N31" s="8">
        <f t="shared" si="4"/>
        <v>680793.75</v>
      </c>
      <c r="O31" s="8">
        <f t="shared" si="5"/>
        <v>23054.166666666668</v>
      </c>
      <c r="P31" s="11">
        <f t="shared" si="6"/>
        <v>15925</v>
      </c>
      <c r="Q31" s="8">
        <f t="shared" si="7"/>
        <v>71662.5</v>
      </c>
      <c r="R31" s="11">
        <f t="shared" si="8"/>
        <v>12734.294871794871</v>
      </c>
      <c r="S31" s="8">
        <f t="shared" si="9"/>
        <v>11860.416666666666</v>
      </c>
      <c r="T31" s="11">
        <f t="shared" si="10"/>
        <v>71662.5</v>
      </c>
      <c r="U31" s="11">
        <f t="shared" si="11"/>
        <v>6423.863636363636</v>
      </c>
    </row>
    <row r="32" spans="2:21">
      <c r="B32" s="9">
        <v>6</v>
      </c>
      <c r="C32" s="9">
        <v>2</v>
      </c>
      <c r="D32" s="9">
        <v>223</v>
      </c>
      <c r="E32" s="10" t="s">
        <v>35</v>
      </c>
      <c r="F32" s="10" t="s">
        <v>19</v>
      </c>
      <c r="G32" s="10" t="s">
        <v>36</v>
      </c>
      <c r="H32" s="8">
        <v>2500</v>
      </c>
      <c r="I32" s="8">
        <f t="shared" si="0"/>
        <v>557500</v>
      </c>
      <c r="J32" s="8">
        <f t="shared" si="1"/>
        <v>27875</v>
      </c>
      <c r="K32" s="8">
        <f t="shared" si="2"/>
        <v>585375</v>
      </c>
      <c r="L32" s="8">
        <v>5000</v>
      </c>
      <c r="M32" s="8">
        <f t="shared" si="3"/>
        <v>29268.75</v>
      </c>
      <c r="N32" s="8">
        <f t="shared" si="4"/>
        <v>556106.25</v>
      </c>
      <c r="O32" s="8">
        <f t="shared" si="5"/>
        <v>18679.166666666668</v>
      </c>
      <c r="P32" s="11">
        <f t="shared" si="6"/>
        <v>13008.333333333334</v>
      </c>
      <c r="Q32" s="8">
        <f t="shared" si="7"/>
        <v>58537.5</v>
      </c>
      <c r="R32" s="11">
        <f t="shared" si="8"/>
        <v>10378.525641025641</v>
      </c>
      <c r="S32" s="8">
        <f t="shared" si="9"/>
        <v>9672.9166666666661</v>
      </c>
      <c r="T32" s="11">
        <f t="shared" si="10"/>
        <v>58537.5</v>
      </c>
      <c r="U32" s="11">
        <f t="shared" si="11"/>
        <v>5230.681818181818</v>
      </c>
    </row>
    <row r="33" spans="2:21">
      <c r="B33" s="9">
        <v>6</v>
      </c>
      <c r="C33" s="9">
        <v>3</v>
      </c>
      <c r="D33" s="9">
        <v>225</v>
      </c>
      <c r="E33" s="10" t="s">
        <v>37</v>
      </c>
      <c r="F33" s="10" t="s">
        <v>19</v>
      </c>
      <c r="G33" s="10" t="s">
        <v>39</v>
      </c>
      <c r="H33" s="8">
        <v>2500</v>
      </c>
      <c r="I33" s="8">
        <f t="shared" si="0"/>
        <v>562500</v>
      </c>
      <c r="J33" s="8">
        <f t="shared" si="1"/>
        <v>28125</v>
      </c>
      <c r="K33" s="8">
        <f t="shared" si="2"/>
        <v>590625</v>
      </c>
      <c r="L33" s="8">
        <v>5000</v>
      </c>
      <c r="M33" s="8">
        <f t="shared" si="3"/>
        <v>29531.25</v>
      </c>
      <c r="N33" s="8">
        <f t="shared" si="4"/>
        <v>561093.75</v>
      </c>
      <c r="O33" s="8">
        <f t="shared" si="5"/>
        <v>18854.166666666668</v>
      </c>
      <c r="P33" s="11">
        <f t="shared" si="6"/>
        <v>13125</v>
      </c>
      <c r="Q33" s="8">
        <f t="shared" si="7"/>
        <v>59062.5</v>
      </c>
      <c r="R33" s="11">
        <f t="shared" si="8"/>
        <v>10472.75641025641</v>
      </c>
      <c r="S33" s="8">
        <f t="shared" si="9"/>
        <v>9760.4166666666661</v>
      </c>
      <c r="T33" s="11">
        <f t="shared" si="10"/>
        <v>59062.5</v>
      </c>
      <c r="U33" s="11">
        <f t="shared" si="11"/>
        <v>5278.409090909091</v>
      </c>
    </row>
    <row r="34" spans="2:21">
      <c r="B34" s="9">
        <v>6</v>
      </c>
      <c r="C34" s="9">
        <v>4</v>
      </c>
      <c r="D34" s="9">
        <v>225</v>
      </c>
      <c r="E34" s="10" t="s">
        <v>37</v>
      </c>
      <c r="F34" s="10" t="s">
        <v>19</v>
      </c>
      <c r="G34" s="10" t="s">
        <v>38</v>
      </c>
      <c r="H34" s="8">
        <v>2500</v>
      </c>
      <c r="I34" s="8">
        <f t="shared" si="0"/>
        <v>562500</v>
      </c>
      <c r="J34" s="8">
        <f t="shared" si="1"/>
        <v>28125</v>
      </c>
      <c r="K34" s="8">
        <f t="shared" si="2"/>
        <v>590625</v>
      </c>
      <c r="L34" s="8">
        <v>5000</v>
      </c>
      <c r="M34" s="8">
        <f t="shared" si="3"/>
        <v>29531.25</v>
      </c>
      <c r="N34" s="8">
        <f t="shared" si="4"/>
        <v>561093.75</v>
      </c>
      <c r="O34" s="8">
        <f t="shared" si="5"/>
        <v>18854.166666666668</v>
      </c>
      <c r="P34" s="11">
        <f t="shared" si="6"/>
        <v>13125</v>
      </c>
      <c r="Q34" s="8">
        <f t="shared" si="7"/>
        <v>59062.5</v>
      </c>
      <c r="R34" s="11">
        <f t="shared" si="8"/>
        <v>10472.75641025641</v>
      </c>
      <c r="S34" s="8">
        <f t="shared" si="9"/>
        <v>9760.4166666666661</v>
      </c>
      <c r="T34" s="11">
        <f t="shared" si="10"/>
        <v>59062.5</v>
      </c>
      <c r="U34" s="11">
        <f t="shared" si="11"/>
        <v>5278.409090909091</v>
      </c>
    </row>
    <row r="35" spans="2:21">
      <c r="B35" s="9">
        <v>6</v>
      </c>
      <c r="C35" s="9">
        <v>5</v>
      </c>
      <c r="D35" s="9">
        <v>339</v>
      </c>
      <c r="E35" s="10" t="s">
        <v>37</v>
      </c>
      <c r="F35" s="10" t="s">
        <v>19</v>
      </c>
      <c r="G35" s="10" t="s">
        <v>39</v>
      </c>
      <c r="H35" s="8">
        <v>2500</v>
      </c>
      <c r="I35" s="8">
        <f t="shared" si="0"/>
        <v>847500</v>
      </c>
      <c r="J35" s="8">
        <f t="shared" si="1"/>
        <v>42375</v>
      </c>
      <c r="K35" s="8">
        <f t="shared" si="2"/>
        <v>889875</v>
      </c>
      <c r="L35" s="8">
        <v>5000</v>
      </c>
      <c r="M35" s="8">
        <f t="shared" si="3"/>
        <v>44493.75</v>
      </c>
      <c r="N35" s="8">
        <f t="shared" si="4"/>
        <v>845381.25</v>
      </c>
      <c r="O35" s="8">
        <f t="shared" si="5"/>
        <v>28829.166666666668</v>
      </c>
      <c r="P35" s="11">
        <f t="shared" si="6"/>
        <v>19775</v>
      </c>
      <c r="Q35" s="8">
        <f t="shared" si="7"/>
        <v>88987.5</v>
      </c>
      <c r="R35" s="11">
        <f t="shared" si="8"/>
        <v>15843.910256410256</v>
      </c>
      <c r="S35" s="8">
        <f t="shared" si="9"/>
        <v>14747.916666666666</v>
      </c>
      <c r="T35" s="11">
        <f t="shared" si="10"/>
        <v>88987.5</v>
      </c>
      <c r="U35" s="11">
        <f t="shared" si="11"/>
        <v>7998.863636363636</v>
      </c>
    </row>
    <row r="36" spans="2:21">
      <c r="B36" s="9">
        <v>6</v>
      </c>
      <c r="C36" s="9">
        <v>6</v>
      </c>
      <c r="D36" s="9">
        <v>246</v>
      </c>
      <c r="E36" s="10" t="s">
        <v>37</v>
      </c>
      <c r="F36" s="10" t="s">
        <v>19</v>
      </c>
      <c r="G36" s="10" t="s">
        <v>36</v>
      </c>
      <c r="H36" s="8">
        <v>2500</v>
      </c>
      <c r="I36" s="8">
        <f t="shared" si="0"/>
        <v>615000</v>
      </c>
      <c r="J36" s="8">
        <f t="shared" si="1"/>
        <v>30750</v>
      </c>
      <c r="K36" s="8">
        <f t="shared" si="2"/>
        <v>645750</v>
      </c>
      <c r="L36" s="8">
        <v>5000</v>
      </c>
      <c r="M36" s="8">
        <f t="shared" si="3"/>
        <v>32287.5</v>
      </c>
      <c r="N36" s="8">
        <f t="shared" si="4"/>
        <v>613462.5</v>
      </c>
      <c r="O36" s="8">
        <f t="shared" si="5"/>
        <v>20691.666666666668</v>
      </c>
      <c r="P36" s="11">
        <f t="shared" si="6"/>
        <v>14350</v>
      </c>
      <c r="Q36" s="8">
        <f t="shared" si="7"/>
        <v>64575</v>
      </c>
      <c r="R36" s="11">
        <f t="shared" si="8"/>
        <v>11462.179487179486</v>
      </c>
      <c r="S36" s="8">
        <f t="shared" si="9"/>
        <v>10679.166666666666</v>
      </c>
      <c r="T36" s="11">
        <f t="shared" si="10"/>
        <v>64575</v>
      </c>
      <c r="U36" s="11">
        <f t="shared" si="11"/>
        <v>5779.545454545455</v>
      </c>
    </row>
    <row r="37" spans="2:21">
      <c r="B37" s="9">
        <v>6</v>
      </c>
      <c r="C37" s="9">
        <v>7</v>
      </c>
      <c r="D37" s="9">
        <v>311</v>
      </c>
      <c r="E37" s="10" t="s">
        <v>37</v>
      </c>
      <c r="F37" s="10" t="s">
        <v>19</v>
      </c>
      <c r="G37" s="10" t="s">
        <v>36</v>
      </c>
      <c r="H37" s="8">
        <v>2500</v>
      </c>
      <c r="I37" s="8">
        <f t="shared" si="0"/>
        <v>777500</v>
      </c>
      <c r="J37" s="8">
        <f t="shared" si="1"/>
        <v>38875</v>
      </c>
      <c r="K37" s="8">
        <f t="shared" si="2"/>
        <v>816375</v>
      </c>
      <c r="L37" s="8">
        <v>5000</v>
      </c>
      <c r="M37" s="8">
        <f t="shared" si="3"/>
        <v>40818.75</v>
      </c>
      <c r="N37" s="8">
        <f t="shared" si="4"/>
        <v>775556.25</v>
      </c>
      <c r="O37" s="8">
        <f t="shared" si="5"/>
        <v>26379.166666666668</v>
      </c>
      <c r="P37" s="11">
        <f t="shared" si="6"/>
        <v>18141.666666666668</v>
      </c>
      <c r="Q37" s="8">
        <f t="shared" si="7"/>
        <v>81637.5</v>
      </c>
      <c r="R37" s="11">
        <f t="shared" si="8"/>
        <v>14524.679487179486</v>
      </c>
      <c r="S37" s="8">
        <f t="shared" si="9"/>
        <v>13522.916666666666</v>
      </c>
      <c r="T37" s="11">
        <f t="shared" si="10"/>
        <v>81637.5</v>
      </c>
      <c r="U37" s="11">
        <f t="shared" si="11"/>
        <v>7330.681818181818</v>
      </c>
    </row>
    <row r="38" spans="2:21">
      <c r="B38" s="9">
        <v>6</v>
      </c>
      <c r="C38" s="9">
        <v>8</v>
      </c>
      <c r="D38" s="9">
        <v>311</v>
      </c>
      <c r="E38" s="10" t="s">
        <v>37</v>
      </c>
      <c r="F38" s="10" t="s">
        <v>19</v>
      </c>
      <c r="G38" s="10" t="s">
        <v>40</v>
      </c>
      <c r="H38" s="8">
        <v>2500</v>
      </c>
      <c r="I38" s="8">
        <f t="shared" si="0"/>
        <v>777500</v>
      </c>
      <c r="J38" s="8">
        <f t="shared" si="1"/>
        <v>38875</v>
      </c>
      <c r="K38" s="8">
        <f t="shared" si="2"/>
        <v>816375</v>
      </c>
      <c r="L38" s="8">
        <v>5000</v>
      </c>
      <c r="M38" s="8">
        <f t="shared" si="3"/>
        <v>40818.75</v>
      </c>
      <c r="N38" s="8">
        <f t="shared" si="4"/>
        <v>775556.25</v>
      </c>
      <c r="O38" s="8">
        <f t="shared" si="5"/>
        <v>26379.166666666668</v>
      </c>
      <c r="P38" s="11">
        <f t="shared" si="6"/>
        <v>18141.666666666668</v>
      </c>
      <c r="Q38" s="8">
        <f t="shared" si="7"/>
        <v>81637.5</v>
      </c>
      <c r="R38" s="11">
        <f t="shared" si="8"/>
        <v>14524.679487179486</v>
      </c>
      <c r="S38" s="8">
        <f t="shared" si="9"/>
        <v>13522.916666666666</v>
      </c>
      <c r="T38" s="11">
        <f t="shared" si="10"/>
        <v>81637.5</v>
      </c>
      <c r="U38" s="11">
        <f t="shared" si="11"/>
        <v>7330.681818181818</v>
      </c>
    </row>
    <row r="39" spans="2:21">
      <c r="B39" s="9">
        <v>6</v>
      </c>
      <c r="C39" s="9">
        <v>9</v>
      </c>
      <c r="D39" s="9">
        <v>300</v>
      </c>
      <c r="E39" s="10" t="s">
        <v>37</v>
      </c>
      <c r="F39" s="10" t="s">
        <v>19</v>
      </c>
      <c r="G39" s="10" t="s">
        <v>36</v>
      </c>
      <c r="H39" s="8">
        <v>2500</v>
      </c>
      <c r="I39" s="8">
        <f t="shared" si="0"/>
        <v>750000</v>
      </c>
      <c r="J39" s="8">
        <f t="shared" si="1"/>
        <v>37500</v>
      </c>
      <c r="K39" s="8">
        <f t="shared" si="2"/>
        <v>787500</v>
      </c>
      <c r="L39" s="8">
        <v>5000</v>
      </c>
      <c r="M39" s="8">
        <f t="shared" si="3"/>
        <v>39375</v>
      </c>
      <c r="N39" s="8">
        <f t="shared" si="4"/>
        <v>748125</v>
      </c>
      <c r="O39" s="8">
        <f t="shared" si="5"/>
        <v>25416.666666666668</v>
      </c>
      <c r="P39" s="11">
        <f t="shared" si="6"/>
        <v>17500</v>
      </c>
      <c r="Q39" s="8">
        <f t="shared" si="7"/>
        <v>78750</v>
      </c>
      <c r="R39" s="11">
        <f t="shared" si="8"/>
        <v>14006.410256410256</v>
      </c>
      <c r="S39" s="8">
        <f t="shared" si="9"/>
        <v>13041.666666666666</v>
      </c>
      <c r="T39" s="11">
        <f t="shared" si="10"/>
        <v>78750</v>
      </c>
      <c r="U39" s="11">
        <f t="shared" si="11"/>
        <v>7068.181818181818</v>
      </c>
    </row>
    <row r="40" spans="2:21">
      <c r="B40" s="9">
        <v>6</v>
      </c>
      <c r="C40" s="9">
        <v>10</v>
      </c>
      <c r="D40" s="9">
        <v>250</v>
      </c>
      <c r="E40" s="10" t="s">
        <v>37</v>
      </c>
      <c r="F40" s="10" t="s">
        <v>19</v>
      </c>
      <c r="G40" s="10" t="s">
        <v>36</v>
      </c>
      <c r="H40" s="8">
        <v>2500</v>
      </c>
      <c r="I40" s="8">
        <f t="shared" si="0"/>
        <v>625000</v>
      </c>
      <c r="J40" s="8">
        <f t="shared" si="1"/>
        <v>31250</v>
      </c>
      <c r="K40" s="8">
        <f t="shared" si="2"/>
        <v>656250</v>
      </c>
      <c r="L40" s="8">
        <v>5000</v>
      </c>
      <c r="M40" s="8">
        <f t="shared" si="3"/>
        <v>32812.5</v>
      </c>
      <c r="N40" s="8">
        <f t="shared" si="4"/>
        <v>623437.5</v>
      </c>
      <c r="O40" s="8">
        <f t="shared" si="5"/>
        <v>21041.666666666668</v>
      </c>
      <c r="P40" s="11">
        <f t="shared" si="6"/>
        <v>14583.333333333334</v>
      </c>
      <c r="Q40" s="8">
        <f t="shared" si="7"/>
        <v>65625</v>
      </c>
      <c r="R40" s="11">
        <f t="shared" si="8"/>
        <v>11650.641025641024</v>
      </c>
      <c r="S40" s="8">
        <f t="shared" si="9"/>
        <v>10854.166666666666</v>
      </c>
      <c r="T40" s="11">
        <f t="shared" si="10"/>
        <v>65625</v>
      </c>
      <c r="U40" s="11">
        <f t="shared" si="11"/>
        <v>5875</v>
      </c>
    </row>
    <row r="41" spans="2:21">
      <c r="B41" s="9">
        <v>6</v>
      </c>
      <c r="C41" s="9">
        <v>11</v>
      </c>
      <c r="D41" s="9">
        <v>313</v>
      </c>
      <c r="E41" s="10" t="s">
        <v>37</v>
      </c>
      <c r="F41" s="10" t="s">
        <v>19</v>
      </c>
      <c r="G41" s="10" t="s">
        <v>38</v>
      </c>
      <c r="H41" s="8">
        <v>2500</v>
      </c>
      <c r="I41" s="8">
        <f t="shared" si="0"/>
        <v>782500</v>
      </c>
      <c r="J41" s="8">
        <f t="shared" si="1"/>
        <v>39125</v>
      </c>
      <c r="K41" s="8">
        <f t="shared" si="2"/>
        <v>821625</v>
      </c>
      <c r="L41" s="8">
        <v>5000</v>
      </c>
      <c r="M41" s="8">
        <f t="shared" si="3"/>
        <v>41081.25</v>
      </c>
      <c r="N41" s="8">
        <f t="shared" si="4"/>
        <v>780543.75</v>
      </c>
      <c r="O41" s="8">
        <f t="shared" si="5"/>
        <v>26554.166666666668</v>
      </c>
      <c r="P41" s="11">
        <f t="shared" si="6"/>
        <v>18258.333333333332</v>
      </c>
      <c r="Q41" s="8">
        <f t="shared" si="7"/>
        <v>82162.5</v>
      </c>
      <c r="R41" s="11">
        <f t="shared" si="8"/>
        <v>14618.910256410256</v>
      </c>
      <c r="S41" s="8">
        <f t="shared" si="9"/>
        <v>13610.416666666666</v>
      </c>
      <c r="T41" s="11">
        <f t="shared" si="10"/>
        <v>82162.5</v>
      </c>
      <c r="U41" s="11">
        <f t="shared" si="11"/>
        <v>7378.409090909091</v>
      </c>
    </row>
    <row r="42" spans="2:21">
      <c r="B42" s="9">
        <v>6</v>
      </c>
      <c r="C42" s="9">
        <v>12</v>
      </c>
      <c r="D42" s="9">
        <v>313</v>
      </c>
      <c r="E42" s="10" t="s">
        <v>37</v>
      </c>
      <c r="F42" s="10" t="s">
        <v>19</v>
      </c>
      <c r="G42" s="10" t="s">
        <v>39</v>
      </c>
      <c r="H42" s="8">
        <v>2500</v>
      </c>
      <c r="I42" s="8">
        <f t="shared" si="0"/>
        <v>782500</v>
      </c>
      <c r="J42" s="8">
        <f t="shared" si="1"/>
        <v>39125</v>
      </c>
      <c r="K42" s="8">
        <f t="shared" si="2"/>
        <v>821625</v>
      </c>
      <c r="L42" s="8">
        <v>5000</v>
      </c>
      <c r="M42" s="8">
        <f t="shared" si="3"/>
        <v>41081.25</v>
      </c>
      <c r="N42" s="8">
        <f t="shared" si="4"/>
        <v>780543.75</v>
      </c>
      <c r="O42" s="8">
        <f t="shared" si="5"/>
        <v>26554.166666666668</v>
      </c>
      <c r="P42" s="11">
        <f t="shared" si="6"/>
        <v>18258.333333333332</v>
      </c>
      <c r="Q42" s="8">
        <f t="shared" si="7"/>
        <v>82162.5</v>
      </c>
      <c r="R42" s="11">
        <f t="shared" si="8"/>
        <v>14618.910256410256</v>
      </c>
      <c r="S42" s="8">
        <f t="shared" si="9"/>
        <v>13610.416666666666</v>
      </c>
      <c r="T42" s="11">
        <f t="shared" si="10"/>
        <v>82162.5</v>
      </c>
      <c r="U42" s="11">
        <f t="shared" si="11"/>
        <v>7378.409090909091</v>
      </c>
    </row>
    <row r="43" spans="2:21">
      <c r="B43" s="9">
        <v>6</v>
      </c>
      <c r="C43" s="9">
        <v>13</v>
      </c>
      <c r="D43" s="9">
        <v>263</v>
      </c>
      <c r="E43" s="10" t="s">
        <v>35</v>
      </c>
      <c r="F43" s="10" t="s">
        <v>19</v>
      </c>
      <c r="G43" s="10" t="s">
        <v>36</v>
      </c>
      <c r="H43" s="8">
        <v>2500</v>
      </c>
      <c r="I43" s="8">
        <f t="shared" si="0"/>
        <v>657500</v>
      </c>
      <c r="J43" s="8">
        <f t="shared" si="1"/>
        <v>32875</v>
      </c>
      <c r="K43" s="8">
        <f t="shared" si="2"/>
        <v>690375</v>
      </c>
      <c r="L43" s="8">
        <v>5000</v>
      </c>
      <c r="M43" s="8">
        <f t="shared" si="3"/>
        <v>34518.75</v>
      </c>
      <c r="N43" s="8">
        <f t="shared" si="4"/>
        <v>655856.25</v>
      </c>
      <c r="O43" s="8">
        <f t="shared" si="5"/>
        <v>22179.166666666668</v>
      </c>
      <c r="P43" s="11">
        <f t="shared" si="6"/>
        <v>15341.666666666666</v>
      </c>
      <c r="Q43" s="8">
        <f t="shared" si="7"/>
        <v>69037.5</v>
      </c>
      <c r="R43" s="11">
        <f t="shared" si="8"/>
        <v>12263.141025641024</v>
      </c>
      <c r="S43" s="8">
        <f t="shared" si="9"/>
        <v>11422.916666666666</v>
      </c>
      <c r="T43" s="11">
        <f t="shared" si="10"/>
        <v>69037.5</v>
      </c>
      <c r="U43" s="11">
        <f t="shared" si="11"/>
        <v>6185.227272727273</v>
      </c>
    </row>
    <row r="44" spans="2:21">
      <c r="B44" s="9">
        <v>6</v>
      </c>
      <c r="C44" s="9">
        <v>14</v>
      </c>
      <c r="D44" s="9">
        <v>266</v>
      </c>
      <c r="E44" s="10" t="s">
        <v>35</v>
      </c>
      <c r="F44" s="10" t="s">
        <v>19</v>
      </c>
      <c r="G44" s="10" t="s">
        <v>36</v>
      </c>
      <c r="H44" s="8">
        <v>2500</v>
      </c>
      <c r="I44" s="8">
        <f t="shared" si="0"/>
        <v>665000</v>
      </c>
      <c r="J44" s="8">
        <f t="shared" si="1"/>
        <v>33250</v>
      </c>
      <c r="K44" s="8">
        <f t="shared" si="2"/>
        <v>698250</v>
      </c>
      <c r="L44" s="8">
        <v>5000</v>
      </c>
      <c r="M44" s="8">
        <f t="shared" si="3"/>
        <v>34912.5</v>
      </c>
      <c r="N44" s="8">
        <f t="shared" si="4"/>
        <v>663337.5</v>
      </c>
      <c r="O44" s="8">
        <f t="shared" si="5"/>
        <v>22441.666666666668</v>
      </c>
      <c r="P44" s="11">
        <f t="shared" si="6"/>
        <v>15516.666666666666</v>
      </c>
      <c r="Q44" s="8">
        <f t="shared" si="7"/>
        <v>69825</v>
      </c>
      <c r="R44" s="11">
        <f t="shared" si="8"/>
        <v>12404.487179487178</v>
      </c>
      <c r="S44" s="8">
        <f t="shared" si="9"/>
        <v>11554.166666666666</v>
      </c>
      <c r="T44" s="11">
        <f t="shared" si="10"/>
        <v>69825</v>
      </c>
      <c r="U44" s="11">
        <f t="shared" si="11"/>
        <v>6256.818181818182</v>
      </c>
    </row>
    <row r="45" spans="2:21">
      <c r="B45" s="9">
        <v>7</v>
      </c>
      <c r="C45" s="9">
        <v>1</v>
      </c>
      <c r="D45" s="9">
        <v>330</v>
      </c>
      <c r="E45" s="10" t="s">
        <v>35</v>
      </c>
      <c r="F45" s="10" t="s">
        <v>19</v>
      </c>
      <c r="G45" s="10" t="s">
        <v>36</v>
      </c>
      <c r="H45" s="8">
        <v>2500</v>
      </c>
      <c r="I45" s="8">
        <f t="shared" si="0"/>
        <v>825000</v>
      </c>
      <c r="J45" s="8">
        <f t="shared" si="1"/>
        <v>41250</v>
      </c>
      <c r="K45" s="8">
        <f t="shared" si="2"/>
        <v>866250</v>
      </c>
      <c r="L45" s="8">
        <v>5000</v>
      </c>
      <c r="M45" s="8">
        <f t="shared" si="3"/>
        <v>43312.5</v>
      </c>
      <c r="N45" s="8">
        <f t="shared" si="4"/>
        <v>822937.5</v>
      </c>
      <c r="O45" s="8">
        <f t="shared" si="5"/>
        <v>28041.666666666668</v>
      </c>
      <c r="P45" s="11">
        <f t="shared" si="6"/>
        <v>19250</v>
      </c>
      <c r="Q45" s="8">
        <f t="shared" si="7"/>
        <v>86625</v>
      </c>
      <c r="R45" s="11">
        <f t="shared" si="8"/>
        <v>15419.871794871795</v>
      </c>
      <c r="S45" s="8">
        <f t="shared" si="9"/>
        <v>14354.166666666666</v>
      </c>
      <c r="T45" s="11">
        <f t="shared" si="10"/>
        <v>86625</v>
      </c>
      <c r="U45" s="11">
        <f t="shared" si="11"/>
        <v>7784.090909090909</v>
      </c>
    </row>
    <row r="46" spans="2:21">
      <c r="B46" s="9">
        <v>7</v>
      </c>
      <c r="C46" s="9">
        <v>2</v>
      </c>
      <c r="D46" s="9">
        <v>249</v>
      </c>
      <c r="E46" s="10" t="s">
        <v>35</v>
      </c>
      <c r="F46" s="10" t="s">
        <v>19</v>
      </c>
      <c r="G46" s="10" t="s">
        <v>36</v>
      </c>
      <c r="H46" s="8">
        <v>2500</v>
      </c>
      <c r="I46" s="8">
        <f t="shared" si="0"/>
        <v>622500</v>
      </c>
      <c r="J46" s="8">
        <f t="shared" si="1"/>
        <v>31125</v>
      </c>
      <c r="K46" s="8">
        <f t="shared" si="2"/>
        <v>653625</v>
      </c>
      <c r="L46" s="8">
        <v>5000</v>
      </c>
      <c r="M46" s="8">
        <f t="shared" si="3"/>
        <v>32681.25</v>
      </c>
      <c r="N46" s="8">
        <f t="shared" si="4"/>
        <v>620943.75</v>
      </c>
      <c r="O46" s="8">
        <f t="shared" si="5"/>
        <v>20954.166666666668</v>
      </c>
      <c r="P46" s="11">
        <f t="shared" si="6"/>
        <v>14525</v>
      </c>
      <c r="Q46" s="8">
        <f t="shared" si="7"/>
        <v>65362.5</v>
      </c>
      <c r="R46" s="11">
        <f t="shared" si="8"/>
        <v>11603.525641025641</v>
      </c>
      <c r="S46" s="8">
        <f t="shared" si="9"/>
        <v>10810.416666666666</v>
      </c>
      <c r="T46" s="11">
        <f t="shared" si="10"/>
        <v>65362.5</v>
      </c>
      <c r="U46" s="11">
        <f t="shared" si="11"/>
        <v>5851.136363636364</v>
      </c>
    </row>
    <row r="47" spans="2:21">
      <c r="B47" s="9">
        <v>7</v>
      </c>
      <c r="C47" s="9">
        <v>3</v>
      </c>
      <c r="D47" s="9">
        <v>325</v>
      </c>
      <c r="E47" s="10" t="s">
        <v>37</v>
      </c>
      <c r="F47" s="10" t="s">
        <v>19</v>
      </c>
      <c r="G47" s="10" t="s">
        <v>39</v>
      </c>
      <c r="H47" s="8">
        <v>2500</v>
      </c>
      <c r="I47" s="8">
        <f t="shared" si="0"/>
        <v>812500</v>
      </c>
      <c r="J47" s="8">
        <f t="shared" si="1"/>
        <v>40625</v>
      </c>
      <c r="K47" s="8">
        <f t="shared" si="2"/>
        <v>853125</v>
      </c>
      <c r="L47" s="8">
        <v>5000</v>
      </c>
      <c r="M47" s="8">
        <f t="shared" si="3"/>
        <v>42656.25</v>
      </c>
      <c r="N47" s="8">
        <f t="shared" si="4"/>
        <v>810468.75</v>
      </c>
      <c r="O47" s="8">
        <f t="shared" si="5"/>
        <v>27604.166666666668</v>
      </c>
      <c r="P47" s="11">
        <f t="shared" si="6"/>
        <v>18958.333333333332</v>
      </c>
      <c r="Q47" s="8">
        <f t="shared" si="7"/>
        <v>85312.5</v>
      </c>
      <c r="R47" s="11">
        <f t="shared" si="8"/>
        <v>15184.294871794871</v>
      </c>
      <c r="S47" s="8">
        <f t="shared" si="9"/>
        <v>14135.416666666666</v>
      </c>
      <c r="T47" s="11">
        <f t="shared" si="10"/>
        <v>85312.5</v>
      </c>
      <c r="U47" s="11">
        <f t="shared" si="11"/>
        <v>7664.772727272727</v>
      </c>
    </row>
    <row r="48" spans="2:21">
      <c r="B48" s="9">
        <v>7</v>
      </c>
      <c r="C48" s="9">
        <v>4</v>
      </c>
      <c r="D48" s="9">
        <v>232</v>
      </c>
      <c r="E48" s="10" t="s">
        <v>37</v>
      </c>
      <c r="F48" s="10" t="s">
        <v>43</v>
      </c>
      <c r="G48" s="10" t="s">
        <v>39</v>
      </c>
      <c r="H48" s="8">
        <v>2500</v>
      </c>
      <c r="I48" s="8">
        <f t="shared" si="0"/>
        <v>580000</v>
      </c>
      <c r="J48" s="8">
        <f t="shared" si="1"/>
        <v>29000</v>
      </c>
      <c r="K48" s="8">
        <f t="shared" si="2"/>
        <v>609000</v>
      </c>
      <c r="L48" s="8">
        <v>5000</v>
      </c>
      <c r="M48" s="8">
        <f t="shared" si="3"/>
        <v>30450</v>
      </c>
      <c r="N48" s="8">
        <f t="shared" si="4"/>
        <v>578550</v>
      </c>
      <c r="O48" s="8">
        <f t="shared" si="5"/>
        <v>19466.666666666668</v>
      </c>
      <c r="P48" s="11">
        <f t="shared" si="6"/>
        <v>13533.333333333334</v>
      </c>
      <c r="Q48" s="8">
        <f t="shared" si="7"/>
        <v>60900</v>
      </c>
      <c r="R48" s="11">
        <f t="shared" si="8"/>
        <v>10802.564102564103</v>
      </c>
      <c r="S48" s="8">
        <f t="shared" si="9"/>
        <v>10066.666666666666</v>
      </c>
      <c r="T48" s="11">
        <f t="shared" si="10"/>
        <v>60900</v>
      </c>
      <c r="U48" s="11">
        <f t="shared" si="11"/>
        <v>5445.454545454545</v>
      </c>
    </row>
    <row r="49" spans="2:21">
      <c r="B49" s="9">
        <v>7</v>
      </c>
      <c r="C49" s="9">
        <v>5</v>
      </c>
      <c r="D49" s="9">
        <v>299</v>
      </c>
      <c r="E49" s="10" t="s">
        <v>37</v>
      </c>
      <c r="F49" s="10" t="s">
        <v>19</v>
      </c>
      <c r="G49" s="10" t="s">
        <v>39</v>
      </c>
      <c r="H49" s="8">
        <v>2500</v>
      </c>
      <c r="I49" s="8">
        <f t="shared" si="0"/>
        <v>747500</v>
      </c>
      <c r="J49" s="8">
        <f t="shared" si="1"/>
        <v>37375</v>
      </c>
      <c r="K49" s="8">
        <f t="shared" si="2"/>
        <v>784875</v>
      </c>
      <c r="L49" s="8">
        <v>5000</v>
      </c>
      <c r="M49" s="8">
        <f t="shared" si="3"/>
        <v>39243.75</v>
      </c>
      <c r="N49" s="8">
        <f t="shared" si="4"/>
        <v>745631.25</v>
      </c>
      <c r="O49" s="8">
        <f t="shared" si="5"/>
        <v>25329.166666666668</v>
      </c>
      <c r="P49" s="11">
        <f t="shared" si="6"/>
        <v>17441.666666666668</v>
      </c>
      <c r="Q49" s="8">
        <f t="shared" si="7"/>
        <v>78487.5</v>
      </c>
      <c r="R49" s="11">
        <f t="shared" si="8"/>
        <v>13959.294871794871</v>
      </c>
      <c r="S49" s="8">
        <f t="shared" si="9"/>
        <v>12997.916666666666</v>
      </c>
      <c r="T49" s="11">
        <f t="shared" si="10"/>
        <v>78487.5</v>
      </c>
      <c r="U49" s="11">
        <f t="shared" si="11"/>
        <v>7044.318181818182</v>
      </c>
    </row>
    <row r="50" spans="2:21">
      <c r="B50" s="9">
        <v>7</v>
      </c>
      <c r="C50" s="9">
        <v>6</v>
      </c>
      <c r="D50" s="9">
        <v>249</v>
      </c>
      <c r="E50" s="10" t="s">
        <v>37</v>
      </c>
      <c r="F50" s="10" t="s">
        <v>43</v>
      </c>
      <c r="G50" s="10" t="s">
        <v>39</v>
      </c>
      <c r="H50" s="8">
        <v>2500</v>
      </c>
      <c r="I50" s="8">
        <f t="shared" si="0"/>
        <v>622500</v>
      </c>
      <c r="J50" s="8">
        <f t="shared" si="1"/>
        <v>31125</v>
      </c>
      <c r="K50" s="8">
        <f t="shared" si="2"/>
        <v>653625</v>
      </c>
      <c r="L50" s="8">
        <v>5000</v>
      </c>
      <c r="M50" s="8">
        <f t="shared" si="3"/>
        <v>32681.25</v>
      </c>
      <c r="N50" s="8">
        <f t="shared" si="4"/>
        <v>620943.75</v>
      </c>
      <c r="O50" s="8">
        <f t="shared" si="5"/>
        <v>20954.166666666668</v>
      </c>
      <c r="P50" s="11">
        <f t="shared" si="6"/>
        <v>14525</v>
      </c>
      <c r="Q50" s="8">
        <f t="shared" si="7"/>
        <v>65362.5</v>
      </c>
      <c r="R50" s="11">
        <f t="shared" si="8"/>
        <v>11603.525641025641</v>
      </c>
      <c r="S50" s="8">
        <f t="shared" si="9"/>
        <v>10810.416666666666</v>
      </c>
      <c r="T50" s="11">
        <f t="shared" si="10"/>
        <v>65362.5</v>
      </c>
      <c r="U50" s="11">
        <f t="shared" si="11"/>
        <v>5851.136363636364</v>
      </c>
    </row>
    <row r="51" spans="2:21">
      <c r="B51" s="9">
        <v>7</v>
      </c>
      <c r="C51" s="9">
        <v>7</v>
      </c>
      <c r="D51" s="9">
        <v>313</v>
      </c>
      <c r="E51" s="10" t="s">
        <v>37</v>
      </c>
      <c r="F51" s="10" t="s">
        <v>19</v>
      </c>
      <c r="G51" s="10" t="s">
        <v>39</v>
      </c>
      <c r="H51" s="8">
        <v>2500</v>
      </c>
      <c r="I51" s="8">
        <f t="shared" si="0"/>
        <v>782500</v>
      </c>
      <c r="J51" s="8">
        <f t="shared" si="1"/>
        <v>39125</v>
      </c>
      <c r="K51" s="8">
        <f t="shared" si="2"/>
        <v>821625</v>
      </c>
      <c r="L51" s="8">
        <v>5000</v>
      </c>
      <c r="M51" s="8">
        <f t="shared" si="3"/>
        <v>41081.25</v>
      </c>
      <c r="N51" s="8">
        <f t="shared" si="4"/>
        <v>780543.75</v>
      </c>
      <c r="O51" s="8">
        <f t="shared" si="5"/>
        <v>26554.166666666668</v>
      </c>
      <c r="P51" s="11">
        <f t="shared" si="6"/>
        <v>18258.333333333332</v>
      </c>
      <c r="Q51" s="8">
        <f t="shared" si="7"/>
        <v>82162.5</v>
      </c>
      <c r="R51" s="11">
        <f t="shared" si="8"/>
        <v>14618.910256410256</v>
      </c>
      <c r="S51" s="8">
        <f t="shared" si="9"/>
        <v>13610.416666666666</v>
      </c>
      <c r="T51" s="11">
        <f t="shared" si="10"/>
        <v>82162.5</v>
      </c>
      <c r="U51" s="11">
        <f t="shared" si="11"/>
        <v>7378.409090909091</v>
      </c>
    </row>
    <row r="52" spans="2:21">
      <c r="B52" s="9">
        <v>7</v>
      </c>
      <c r="C52" s="9">
        <v>8</v>
      </c>
      <c r="D52" s="9">
        <v>313</v>
      </c>
      <c r="E52" s="10" t="s">
        <v>37</v>
      </c>
      <c r="F52" s="10" t="s">
        <v>43</v>
      </c>
      <c r="G52" s="10" t="s">
        <v>39</v>
      </c>
      <c r="H52" s="8">
        <v>2500</v>
      </c>
      <c r="I52" s="8">
        <f t="shared" si="0"/>
        <v>782500</v>
      </c>
      <c r="J52" s="8">
        <f t="shared" si="1"/>
        <v>39125</v>
      </c>
      <c r="K52" s="8">
        <f t="shared" si="2"/>
        <v>821625</v>
      </c>
      <c r="L52" s="8">
        <v>5000</v>
      </c>
      <c r="M52" s="8">
        <f t="shared" si="3"/>
        <v>41081.25</v>
      </c>
      <c r="N52" s="8">
        <f t="shared" si="4"/>
        <v>780543.75</v>
      </c>
      <c r="O52" s="8">
        <f t="shared" si="5"/>
        <v>26554.166666666668</v>
      </c>
      <c r="P52" s="11">
        <f t="shared" si="6"/>
        <v>18258.333333333332</v>
      </c>
      <c r="Q52" s="8">
        <f t="shared" si="7"/>
        <v>82162.5</v>
      </c>
      <c r="R52" s="11">
        <f t="shared" si="8"/>
        <v>14618.910256410256</v>
      </c>
      <c r="S52" s="8">
        <f t="shared" si="9"/>
        <v>13610.416666666666</v>
      </c>
      <c r="T52" s="11">
        <f t="shared" si="10"/>
        <v>82162.5</v>
      </c>
      <c r="U52" s="11">
        <f t="shared" si="11"/>
        <v>7378.409090909091</v>
      </c>
    </row>
    <row r="53" spans="2:21">
      <c r="B53" s="9">
        <v>7</v>
      </c>
      <c r="C53" s="9">
        <v>9</v>
      </c>
      <c r="D53" s="9">
        <v>269</v>
      </c>
      <c r="E53" s="10" t="s">
        <v>35</v>
      </c>
      <c r="F53" s="10" t="s">
        <v>19</v>
      </c>
      <c r="G53" s="10" t="s">
        <v>39</v>
      </c>
      <c r="H53" s="8">
        <v>2500</v>
      </c>
      <c r="I53" s="8">
        <f t="shared" si="0"/>
        <v>672500</v>
      </c>
      <c r="J53" s="8">
        <f t="shared" si="1"/>
        <v>33625</v>
      </c>
      <c r="K53" s="8">
        <f t="shared" si="2"/>
        <v>706125</v>
      </c>
      <c r="L53" s="8">
        <v>5000</v>
      </c>
      <c r="M53" s="8">
        <f t="shared" si="3"/>
        <v>35306.25</v>
      </c>
      <c r="N53" s="8">
        <f t="shared" si="4"/>
        <v>670818.75</v>
      </c>
      <c r="O53" s="8">
        <f t="shared" si="5"/>
        <v>22704.166666666668</v>
      </c>
      <c r="P53" s="11">
        <f t="shared" si="6"/>
        <v>15691.666666666666</v>
      </c>
      <c r="Q53" s="8">
        <f t="shared" si="7"/>
        <v>70612.5</v>
      </c>
      <c r="R53" s="11">
        <f t="shared" si="8"/>
        <v>12545.833333333332</v>
      </c>
      <c r="S53" s="8">
        <f t="shared" si="9"/>
        <v>11685.416666666666</v>
      </c>
      <c r="T53" s="11">
        <f t="shared" si="10"/>
        <v>70612.5</v>
      </c>
      <c r="U53" s="11">
        <f t="shared" si="11"/>
        <v>6328.409090909091</v>
      </c>
    </row>
    <row r="54" spans="2:21">
      <c r="B54" s="9">
        <v>7</v>
      </c>
      <c r="C54" s="9">
        <v>10</v>
      </c>
      <c r="D54" s="9">
        <v>272</v>
      </c>
      <c r="E54" s="10" t="s">
        <v>35</v>
      </c>
      <c r="F54" s="10" t="s">
        <v>19</v>
      </c>
      <c r="G54" s="10" t="s">
        <v>39</v>
      </c>
      <c r="H54" s="8">
        <v>2500</v>
      </c>
      <c r="I54" s="8">
        <f t="shared" si="0"/>
        <v>680000</v>
      </c>
      <c r="J54" s="8">
        <f t="shared" si="1"/>
        <v>34000</v>
      </c>
      <c r="K54" s="8">
        <f t="shared" si="2"/>
        <v>714000</v>
      </c>
      <c r="L54" s="8">
        <v>5000</v>
      </c>
      <c r="M54" s="8">
        <f t="shared" si="3"/>
        <v>35700</v>
      </c>
      <c r="N54" s="8">
        <f t="shared" si="4"/>
        <v>678300</v>
      </c>
      <c r="O54" s="8">
        <f t="shared" si="5"/>
        <v>22966.666666666668</v>
      </c>
      <c r="P54" s="11">
        <f t="shared" si="6"/>
        <v>15866.666666666666</v>
      </c>
      <c r="Q54" s="8">
        <f t="shared" si="7"/>
        <v>71400</v>
      </c>
      <c r="R54" s="11">
        <f t="shared" si="8"/>
        <v>12687.179487179486</v>
      </c>
      <c r="S54" s="8">
        <f t="shared" si="9"/>
        <v>11816.666666666666</v>
      </c>
      <c r="T54" s="11">
        <f t="shared" si="10"/>
        <v>71400</v>
      </c>
      <c r="U54" s="11">
        <f t="shared" si="11"/>
        <v>6400</v>
      </c>
    </row>
    <row r="55" spans="2:21">
      <c r="B55" s="9">
        <v>8</v>
      </c>
      <c r="C55" s="9">
        <v>1</v>
      </c>
      <c r="D55" s="9">
        <v>434</v>
      </c>
      <c r="E55" s="10" t="s">
        <v>35</v>
      </c>
      <c r="F55" s="10" t="s">
        <v>43</v>
      </c>
      <c r="G55" s="10" t="s">
        <v>38</v>
      </c>
      <c r="H55" s="8">
        <v>2500</v>
      </c>
      <c r="I55" s="8">
        <f t="shared" si="0"/>
        <v>1085000</v>
      </c>
      <c r="J55" s="8">
        <f t="shared" si="1"/>
        <v>54250</v>
      </c>
      <c r="K55" s="8">
        <f t="shared" si="2"/>
        <v>1139250</v>
      </c>
      <c r="L55" s="8">
        <v>5000</v>
      </c>
      <c r="M55" s="8">
        <f t="shared" si="3"/>
        <v>56962.5</v>
      </c>
      <c r="N55" s="8">
        <f t="shared" si="4"/>
        <v>1082287.5</v>
      </c>
      <c r="O55" s="8">
        <f t="shared" si="5"/>
        <v>37141.666666666664</v>
      </c>
      <c r="P55" s="11">
        <f t="shared" si="6"/>
        <v>25316.666666666668</v>
      </c>
      <c r="Q55" s="8">
        <f t="shared" si="7"/>
        <v>113925</v>
      </c>
      <c r="R55" s="11">
        <f t="shared" si="8"/>
        <v>20319.871794871793</v>
      </c>
      <c r="S55" s="8">
        <f t="shared" si="9"/>
        <v>18904.166666666668</v>
      </c>
      <c r="T55" s="11">
        <f t="shared" si="10"/>
        <v>113925</v>
      </c>
      <c r="U55" s="11">
        <f t="shared" si="11"/>
        <v>10265.90909090909</v>
      </c>
    </row>
    <row r="56" spans="2:21">
      <c r="B56" s="9">
        <v>8</v>
      </c>
      <c r="C56" s="9">
        <v>2</v>
      </c>
      <c r="D56" s="9">
        <v>484</v>
      </c>
      <c r="E56" s="10" t="s">
        <v>37</v>
      </c>
      <c r="F56" s="10" t="s">
        <v>43</v>
      </c>
      <c r="G56" s="10" t="s">
        <v>38</v>
      </c>
      <c r="H56" s="8">
        <v>2500</v>
      </c>
      <c r="I56" s="8">
        <f t="shared" si="0"/>
        <v>1210000</v>
      </c>
      <c r="J56" s="8">
        <f t="shared" si="1"/>
        <v>60500</v>
      </c>
      <c r="K56" s="8">
        <f t="shared" si="2"/>
        <v>1270500</v>
      </c>
      <c r="L56" s="8">
        <v>5000</v>
      </c>
      <c r="M56" s="8">
        <f t="shared" si="3"/>
        <v>63525</v>
      </c>
      <c r="N56" s="8">
        <f t="shared" si="4"/>
        <v>1206975</v>
      </c>
      <c r="O56" s="8">
        <f t="shared" si="5"/>
        <v>41516.666666666664</v>
      </c>
      <c r="P56" s="11">
        <f t="shared" si="6"/>
        <v>28233.333333333332</v>
      </c>
      <c r="Q56" s="8">
        <f t="shared" si="7"/>
        <v>127050</v>
      </c>
      <c r="R56" s="11">
        <f t="shared" si="8"/>
        <v>22675.641025641027</v>
      </c>
      <c r="S56" s="8">
        <f t="shared" si="9"/>
        <v>21091.666666666668</v>
      </c>
      <c r="T56" s="11">
        <f t="shared" si="10"/>
        <v>127050</v>
      </c>
      <c r="U56" s="11">
        <f t="shared" si="11"/>
        <v>11459.09090909091</v>
      </c>
    </row>
    <row r="57" spans="2:21">
      <c r="B57" s="9">
        <v>8</v>
      </c>
      <c r="C57" s="9">
        <v>3</v>
      </c>
      <c r="D57" s="9">
        <v>421</v>
      </c>
      <c r="E57" s="10" t="s">
        <v>35</v>
      </c>
      <c r="F57" s="10" t="s">
        <v>43</v>
      </c>
      <c r="G57" s="10" t="s">
        <v>38</v>
      </c>
      <c r="H57" s="8">
        <v>2500</v>
      </c>
      <c r="I57" s="8">
        <f t="shared" si="0"/>
        <v>1052500</v>
      </c>
      <c r="J57" s="8">
        <f t="shared" si="1"/>
        <v>52625</v>
      </c>
      <c r="K57" s="8">
        <f t="shared" si="2"/>
        <v>1105125</v>
      </c>
      <c r="L57" s="8">
        <v>5000</v>
      </c>
      <c r="M57" s="8">
        <f t="shared" si="3"/>
        <v>55256.25</v>
      </c>
      <c r="N57" s="8">
        <f t="shared" si="4"/>
        <v>1049868.75</v>
      </c>
      <c r="O57" s="8">
        <f t="shared" si="5"/>
        <v>36004.166666666664</v>
      </c>
      <c r="P57" s="11">
        <f t="shared" si="6"/>
        <v>24558.333333333332</v>
      </c>
      <c r="Q57" s="8">
        <f t="shared" si="7"/>
        <v>110512.5</v>
      </c>
      <c r="R57" s="11">
        <f t="shared" si="8"/>
        <v>19707.371794871793</v>
      </c>
      <c r="S57" s="8">
        <f t="shared" si="9"/>
        <v>18335.416666666668</v>
      </c>
      <c r="T57" s="11">
        <f t="shared" si="10"/>
        <v>110512.5</v>
      </c>
      <c r="U57" s="11">
        <f t="shared" si="11"/>
        <v>9955.681818181818</v>
      </c>
    </row>
    <row r="58" spans="2:21">
      <c r="B58" s="9">
        <v>9</v>
      </c>
      <c r="C58" s="9">
        <v>1</v>
      </c>
      <c r="D58" s="9">
        <v>284</v>
      </c>
      <c r="E58" s="10" t="s">
        <v>35</v>
      </c>
      <c r="F58" s="10" t="s">
        <v>19</v>
      </c>
      <c r="G58" s="10" t="s">
        <v>39</v>
      </c>
      <c r="H58" s="8">
        <v>2500</v>
      </c>
      <c r="I58" s="8">
        <f t="shared" si="0"/>
        <v>710000</v>
      </c>
      <c r="J58" s="8">
        <f t="shared" si="1"/>
        <v>35500</v>
      </c>
      <c r="K58" s="8">
        <f t="shared" si="2"/>
        <v>745500</v>
      </c>
      <c r="L58" s="8">
        <v>5000</v>
      </c>
      <c r="M58" s="8">
        <f t="shared" si="3"/>
        <v>37275</v>
      </c>
      <c r="N58" s="8">
        <f t="shared" si="4"/>
        <v>708225</v>
      </c>
      <c r="O58" s="8">
        <f t="shared" si="5"/>
        <v>24016.666666666668</v>
      </c>
      <c r="P58" s="11">
        <f t="shared" si="6"/>
        <v>16566.666666666668</v>
      </c>
      <c r="Q58" s="8">
        <f t="shared" si="7"/>
        <v>74550</v>
      </c>
      <c r="R58" s="11">
        <f t="shared" si="8"/>
        <v>13252.564102564102</v>
      </c>
      <c r="S58" s="8">
        <f t="shared" si="9"/>
        <v>12341.666666666666</v>
      </c>
      <c r="T58" s="11">
        <f t="shared" si="10"/>
        <v>74550</v>
      </c>
      <c r="U58" s="11">
        <f t="shared" si="11"/>
        <v>6686.363636363636</v>
      </c>
    </row>
    <row r="59" spans="2:21">
      <c r="B59" s="9">
        <v>9</v>
      </c>
      <c r="C59" s="9">
        <v>2</v>
      </c>
      <c r="D59" s="9">
        <v>252</v>
      </c>
      <c r="E59" s="10" t="s">
        <v>37</v>
      </c>
      <c r="F59" s="10" t="s">
        <v>19</v>
      </c>
      <c r="G59" s="10" t="s">
        <v>39</v>
      </c>
      <c r="H59" s="8">
        <v>2500</v>
      </c>
      <c r="I59" s="8">
        <f t="shared" si="0"/>
        <v>630000</v>
      </c>
      <c r="J59" s="8">
        <f t="shared" si="1"/>
        <v>31500</v>
      </c>
      <c r="K59" s="8">
        <f t="shared" si="2"/>
        <v>661500</v>
      </c>
      <c r="L59" s="8">
        <v>5000</v>
      </c>
      <c r="M59" s="8">
        <f t="shared" si="3"/>
        <v>33075</v>
      </c>
      <c r="N59" s="8">
        <f t="shared" si="4"/>
        <v>628425</v>
      </c>
      <c r="O59" s="8">
        <f t="shared" si="5"/>
        <v>21216.666666666668</v>
      </c>
      <c r="P59" s="11">
        <f t="shared" si="6"/>
        <v>14700</v>
      </c>
      <c r="Q59" s="8">
        <f t="shared" si="7"/>
        <v>66150</v>
      </c>
      <c r="R59" s="11">
        <f t="shared" si="8"/>
        <v>11744.871794871793</v>
      </c>
      <c r="S59" s="8">
        <f t="shared" si="9"/>
        <v>10941.666666666666</v>
      </c>
      <c r="T59" s="11">
        <f t="shared" si="10"/>
        <v>66150</v>
      </c>
      <c r="U59" s="11">
        <f t="shared" si="11"/>
        <v>5922.727272727273</v>
      </c>
    </row>
    <row r="60" spans="2:21">
      <c r="B60" s="9">
        <v>9</v>
      </c>
      <c r="C60" s="9">
        <v>3</v>
      </c>
      <c r="D60" s="9">
        <v>231</v>
      </c>
      <c r="E60" s="10" t="s">
        <v>37</v>
      </c>
      <c r="F60" s="10" t="s">
        <v>19</v>
      </c>
      <c r="G60" s="10" t="s">
        <v>39</v>
      </c>
      <c r="H60" s="8">
        <v>2500</v>
      </c>
      <c r="I60" s="8">
        <f t="shared" si="0"/>
        <v>577500</v>
      </c>
      <c r="J60" s="8">
        <f t="shared" si="1"/>
        <v>28875</v>
      </c>
      <c r="K60" s="8">
        <f t="shared" si="2"/>
        <v>606375</v>
      </c>
      <c r="L60" s="8">
        <v>5000</v>
      </c>
      <c r="M60" s="8">
        <f t="shared" si="3"/>
        <v>30318.75</v>
      </c>
      <c r="N60" s="8">
        <f t="shared" si="4"/>
        <v>576056.25</v>
      </c>
      <c r="O60" s="8">
        <f t="shared" si="5"/>
        <v>19379.166666666668</v>
      </c>
      <c r="P60" s="11">
        <f t="shared" si="6"/>
        <v>13475</v>
      </c>
      <c r="Q60" s="8">
        <f t="shared" si="7"/>
        <v>60637.5</v>
      </c>
      <c r="R60" s="11">
        <f t="shared" si="8"/>
        <v>10755.448717948719</v>
      </c>
      <c r="S60" s="8">
        <f t="shared" si="9"/>
        <v>10022.916666666666</v>
      </c>
      <c r="T60" s="11">
        <f t="shared" si="10"/>
        <v>60637.5</v>
      </c>
      <c r="U60" s="11">
        <f t="shared" si="11"/>
        <v>5421.590909090909</v>
      </c>
    </row>
    <row r="61" spans="2:21">
      <c r="B61" s="9">
        <v>9</v>
      </c>
      <c r="C61" s="9">
        <v>4</v>
      </c>
      <c r="D61" s="9">
        <v>337</v>
      </c>
      <c r="E61" s="10" t="s">
        <v>37</v>
      </c>
      <c r="F61" s="10" t="s">
        <v>19</v>
      </c>
      <c r="G61" s="10" t="s">
        <v>39</v>
      </c>
      <c r="H61" s="8">
        <v>2500</v>
      </c>
      <c r="I61" s="8">
        <f t="shared" si="0"/>
        <v>842500</v>
      </c>
      <c r="J61" s="8">
        <f t="shared" si="1"/>
        <v>42125</v>
      </c>
      <c r="K61" s="8">
        <f t="shared" si="2"/>
        <v>884625</v>
      </c>
      <c r="L61" s="8">
        <v>5000</v>
      </c>
      <c r="M61" s="8">
        <f t="shared" si="3"/>
        <v>44231.25</v>
      </c>
      <c r="N61" s="8">
        <f t="shared" si="4"/>
        <v>840393.75</v>
      </c>
      <c r="O61" s="8">
        <f t="shared" si="5"/>
        <v>28654.166666666668</v>
      </c>
      <c r="P61" s="11">
        <f t="shared" si="6"/>
        <v>19658.333333333332</v>
      </c>
      <c r="Q61" s="8">
        <f t="shared" si="7"/>
        <v>88462.5</v>
      </c>
      <c r="R61" s="11">
        <f t="shared" si="8"/>
        <v>15749.679487179486</v>
      </c>
      <c r="S61" s="8">
        <f t="shared" si="9"/>
        <v>14660.416666666666</v>
      </c>
      <c r="T61" s="11">
        <f t="shared" si="10"/>
        <v>88462.5</v>
      </c>
      <c r="U61" s="11">
        <f t="shared" si="11"/>
        <v>7951.136363636364</v>
      </c>
    </row>
    <row r="62" spans="2:21">
      <c r="B62" s="9">
        <v>9</v>
      </c>
      <c r="C62" s="9">
        <v>5</v>
      </c>
      <c r="D62" s="9">
        <v>225</v>
      </c>
      <c r="E62" s="10" t="s">
        <v>37</v>
      </c>
      <c r="F62" s="10" t="s">
        <v>19</v>
      </c>
      <c r="G62" s="10" t="s">
        <v>39</v>
      </c>
      <c r="H62" s="8">
        <v>2500</v>
      </c>
      <c r="I62" s="8">
        <f t="shared" si="0"/>
        <v>562500</v>
      </c>
      <c r="J62" s="8">
        <f t="shared" si="1"/>
        <v>28125</v>
      </c>
      <c r="K62" s="8">
        <f t="shared" si="2"/>
        <v>590625</v>
      </c>
      <c r="L62" s="8">
        <v>5000</v>
      </c>
      <c r="M62" s="8">
        <f t="shared" si="3"/>
        <v>29531.25</v>
      </c>
      <c r="N62" s="8">
        <f t="shared" si="4"/>
        <v>561093.75</v>
      </c>
      <c r="O62" s="8">
        <f t="shared" si="5"/>
        <v>18854.166666666668</v>
      </c>
      <c r="P62" s="11">
        <f t="shared" si="6"/>
        <v>13125</v>
      </c>
      <c r="Q62" s="8">
        <f t="shared" si="7"/>
        <v>59062.5</v>
      </c>
      <c r="R62" s="11">
        <f t="shared" si="8"/>
        <v>10472.75641025641</v>
      </c>
      <c r="S62" s="8">
        <f t="shared" si="9"/>
        <v>9760.4166666666661</v>
      </c>
      <c r="T62" s="11">
        <f t="shared" si="10"/>
        <v>59062.5</v>
      </c>
      <c r="U62" s="11">
        <f t="shared" si="11"/>
        <v>5278.409090909091</v>
      </c>
    </row>
    <row r="63" spans="2:21">
      <c r="B63" s="9">
        <v>9</v>
      </c>
      <c r="C63" s="9">
        <v>6</v>
      </c>
      <c r="D63" s="9">
        <v>225</v>
      </c>
      <c r="E63" s="10" t="s">
        <v>37</v>
      </c>
      <c r="F63" s="10" t="s">
        <v>19</v>
      </c>
      <c r="G63" s="10" t="s">
        <v>39</v>
      </c>
      <c r="H63" s="8">
        <v>2500</v>
      </c>
      <c r="I63" s="8">
        <f t="shared" si="0"/>
        <v>562500</v>
      </c>
      <c r="J63" s="8">
        <f t="shared" si="1"/>
        <v>28125</v>
      </c>
      <c r="K63" s="8">
        <f t="shared" si="2"/>
        <v>590625</v>
      </c>
      <c r="L63" s="8">
        <v>5000</v>
      </c>
      <c r="M63" s="8">
        <f t="shared" si="3"/>
        <v>29531.25</v>
      </c>
      <c r="N63" s="8">
        <f t="shared" si="4"/>
        <v>561093.75</v>
      </c>
      <c r="O63" s="8">
        <f t="shared" si="5"/>
        <v>18854.166666666668</v>
      </c>
      <c r="P63" s="11">
        <f t="shared" si="6"/>
        <v>13125</v>
      </c>
      <c r="Q63" s="8">
        <f t="shared" si="7"/>
        <v>59062.5</v>
      </c>
      <c r="R63" s="11">
        <f t="shared" si="8"/>
        <v>10472.75641025641</v>
      </c>
      <c r="S63" s="8">
        <f t="shared" si="9"/>
        <v>9760.4166666666661</v>
      </c>
      <c r="T63" s="11">
        <f t="shared" si="10"/>
        <v>59062.5</v>
      </c>
      <c r="U63" s="11">
        <f t="shared" si="11"/>
        <v>5278.409090909091</v>
      </c>
    </row>
    <row r="64" spans="2:21">
      <c r="B64" s="9">
        <v>9</v>
      </c>
      <c r="C64" s="9">
        <v>7</v>
      </c>
      <c r="D64" s="9">
        <v>225</v>
      </c>
      <c r="E64" s="10" t="s">
        <v>37</v>
      </c>
      <c r="F64" s="10" t="s">
        <v>19</v>
      </c>
      <c r="G64" s="10" t="s">
        <v>39</v>
      </c>
      <c r="H64" s="8">
        <v>2500</v>
      </c>
      <c r="I64" s="8">
        <f t="shared" si="0"/>
        <v>562500</v>
      </c>
      <c r="J64" s="8">
        <f t="shared" si="1"/>
        <v>28125</v>
      </c>
      <c r="K64" s="8">
        <f t="shared" si="2"/>
        <v>590625</v>
      </c>
      <c r="L64" s="8">
        <v>5000</v>
      </c>
      <c r="M64" s="8">
        <f t="shared" si="3"/>
        <v>29531.25</v>
      </c>
      <c r="N64" s="8">
        <f t="shared" si="4"/>
        <v>561093.75</v>
      </c>
      <c r="O64" s="8">
        <f t="shared" si="5"/>
        <v>18854.166666666668</v>
      </c>
      <c r="P64" s="11">
        <f t="shared" si="6"/>
        <v>13125</v>
      </c>
      <c r="Q64" s="8">
        <f t="shared" si="7"/>
        <v>59062.5</v>
      </c>
      <c r="R64" s="11">
        <f t="shared" si="8"/>
        <v>10472.75641025641</v>
      </c>
      <c r="S64" s="8">
        <f t="shared" si="9"/>
        <v>9760.4166666666661</v>
      </c>
      <c r="T64" s="11">
        <f t="shared" si="10"/>
        <v>59062.5</v>
      </c>
      <c r="U64" s="11">
        <f t="shared" si="11"/>
        <v>5278.409090909091</v>
      </c>
    </row>
    <row r="65" spans="2:21">
      <c r="B65" s="9">
        <v>9</v>
      </c>
      <c r="C65" s="9">
        <v>8</v>
      </c>
      <c r="D65" s="9">
        <v>225</v>
      </c>
      <c r="E65" s="10" t="s">
        <v>37</v>
      </c>
      <c r="F65" s="10" t="s">
        <v>19</v>
      </c>
      <c r="G65" s="10" t="s">
        <v>39</v>
      </c>
      <c r="H65" s="8">
        <v>2500</v>
      </c>
      <c r="I65" s="8">
        <f t="shared" si="0"/>
        <v>562500</v>
      </c>
      <c r="J65" s="8">
        <f t="shared" si="1"/>
        <v>28125</v>
      </c>
      <c r="K65" s="8">
        <f t="shared" si="2"/>
        <v>590625</v>
      </c>
      <c r="L65" s="8">
        <v>5000</v>
      </c>
      <c r="M65" s="8">
        <f t="shared" si="3"/>
        <v>29531.25</v>
      </c>
      <c r="N65" s="8">
        <f t="shared" si="4"/>
        <v>561093.75</v>
      </c>
      <c r="O65" s="8">
        <f t="shared" si="5"/>
        <v>18854.166666666668</v>
      </c>
      <c r="P65" s="11">
        <f t="shared" si="6"/>
        <v>13125</v>
      </c>
      <c r="Q65" s="8">
        <f t="shared" si="7"/>
        <v>59062.5</v>
      </c>
      <c r="R65" s="11">
        <f t="shared" si="8"/>
        <v>10472.75641025641</v>
      </c>
      <c r="S65" s="8">
        <f t="shared" si="9"/>
        <v>9760.4166666666661</v>
      </c>
      <c r="T65" s="11">
        <f t="shared" si="10"/>
        <v>59062.5</v>
      </c>
      <c r="U65" s="11">
        <f t="shared" si="11"/>
        <v>5278.409090909091</v>
      </c>
    </row>
    <row r="66" spans="2:21">
      <c r="B66" s="9">
        <v>9</v>
      </c>
      <c r="C66" s="9">
        <v>9</v>
      </c>
      <c r="D66" s="9">
        <v>225</v>
      </c>
      <c r="E66" s="10" t="s">
        <v>37</v>
      </c>
      <c r="F66" s="10" t="s">
        <v>19</v>
      </c>
      <c r="G66" s="10" t="s">
        <v>39</v>
      </c>
      <c r="H66" s="8">
        <v>2500</v>
      </c>
      <c r="I66" s="8">
        <f t="shared" si="0"/>
        <v>562500</v>
      </c>
      <c r="J66" s="8">
        <f t="shared" si="1"/>
        <v>28125</v>
      </c>
      <c r="K66" s="8">
        <f t="shared" si="2"/>
        <v>590625</v>
      </c>
      <c r="L66" s="8">
        <v>5000</v>
      </c>
      <c r="M66" s="8">
        <f t="shared" si="3"/>
        <v>29531.25</v>
      </c>
      <c r="N66" s="8">
        <f t="shared" si="4"/>
        <v>561093.75</v>
      </c>
      <c r="O66" s="8">
        <f t="shared" si="5"/>
        <v>18854.166666666668</v>
      </c>
      <c r="P66" s="11">
        <f t="shared" si="6"/>
        <v>13125</v>
      </c>
      <c r="Q66" s="8">
        <f t="shared" si="7"/>
        <v>59062.5</v>
      </c>
      <c r="R66" s="11">
        <f t="shared" si="8"/>
        <v>10472.75641025641</v>
      </c>
      <c r="S66" s="8">
        <f t="shared" si="9"/>
        <v>9760.4166666666661</v>
      </c>
      <c r="T66" s="11">
        <f t="shared" si="10"/>
        <v>59062.5</v>
      </c>
      <c r="U66" s="11">
        <f t="shared" si="11"/>
        <v>5278.409090909091</v>
      </c>
    </row>
    <row r="67" spans="2:21">
      <c r="B67" s="9">
        <v>9</v>
      </c>
      <c r="C67" s="9">
        <v>10</v>
      </c>
      <c r="D67" s="9">
        <v>225</v>
      </c>
      <c r="E67" s="10" t="s">
        <v>37</v>
      </c>
      <c r="F67" s="10" t="s">
        <v>19</v>
      </c>
      <c r="G67" s="10" t="s">
        <v>40</v>
      </c>
      <c r="H67" s="8">
        <v>2500</v>
      </c>
      <c r="I67" s="8">
        <f t="shared" si="0"/>
        <v>562500</v>
      </c>
      <c r="J67" s="8">
        <f t="shared" si="1"/>
        <v>28125</v>
      </c>
      <c r="K67" s="8">
        <f t="shared" si="2"/>
        <v>590625</v>
      </c>
      <c r="L67" s="8">
        <v>5000</v>
      </c>
      <c r="M67" s="8">
        <f t="shared" si="3"/>
        <v>29531.25</v>
      </c>
      <c r="N67" s="8">
        <f t="shared" si="4"/>
        <v>561093.75</v>
      </c>
      <c r="O67" s="8">
        <f t="shared" si="5"/>
        <v>18854.166666666668</v>
      </c>
      <c r="P67" s="11">
        <f t="shared" si="6"/>
        <v>13125</v>
      </c>
      <c r="Q67" s="8">
        <f t="shared" si="7"/>
        <v>59062.5</v>
      </c>
      <c r="R67" s="11">
        <f t="shared" si="8"/>
        <v>10472.75641025641</v>
      </c>
      <c r="S67" s="8">
        <f t="shared" si="9"/>
        <v>9760.4166666666661</v>
      </c>
      <c r="T67" s="11">
        <f t="shared" si="10"/>
        <v>59062.5</v>
      </c>
      <c r="U67" s="11">
        <f t="shared" si="11"/>
        <v>5278.409090909091</v>
      </c>
    </row>
    <row r="68" spans="2:21">
      <c r="B68" s="9">
        <v>9</v>
      </c>
      <c r="C68" s="9">
        <v>11</v>
      </c>
      <c r="D68" s="9">
        <v>330</v>
      </c>
      <c r="E68" s="10" t="s">
        <v>37</v>
      </c>
      <c r="F68" s="10" t="s">
        <v>43</v>
      </c>
      <c r="G68" s="10" t="s">
        <v>40</v>
      </c>
      <c r="H68" s="8">
        <v>2500</v>
      </c>
      <c r="I68" s="8">
        <f t="shared" si="0"/>
        <v>825000</v>
      </c>
      <c r="J68" s="8">
        <f t="shared" si="1"/>
        <v>41250</v>
      </c>
      <c r="K68" s="8">
        <f t="shared" si="2"/>
        <v>866250</v>
      </c>
      <c r="L68" s="8">
        <v>5000</v>
      </c>
      <c r="M68" s="8">
        <f t="shared" si="3"/>
        <v>43312.5</v>
      </c>
      <c r="N68" s="8">
        <f t="shared" si="4"/>
        <v>822937.5</v>
      </c>
      <c r="O68" s="8">
        <f t="shared" si="5"/>
        <v>28041.666666666668</v>
      </c>
      <c r="P68" s="11">
        <f t="shared" si="6"/>
        <v>19250</v>
      </c>
      <c r="Q68" s="8">
        <f t="shared" si="7"/>
        <v>86625</v>
      </c>
      <c r="R68" s="11">
        <f t="shared" si="8"/>
        <v>15419.871794871795</v>
      </c>
      <c r="S68" s="8">
        <f t="shared" si="9"/>
        <v>14354.166666666666</v>
      </c>
      <c r="T68" s="11">
        <f t="shared" si="10"/>
        <v>86625</v>
      </c>
      <c r="U68" s="11">
        <f t="shared" si="11"/>
        <v>7784.090909090909</v>
      </c>
    </row>
    <row r="69" spans="2:21">
      <c r="B69" s="9">
        <v>9</v>
      </c>
      <c r="C69" s="9">
        <v>12</v>
      </c>
      <c r="D69" s="9">
        <v>328</v>
      </c>
      <c r="E69" s="10" t="s">
        <v>35</v>
      </c>
      <c r="F69" s="10" t="s">
        <v>43</v>
      </c>
      <c r="G69" s="10" t="s">
        <v>40</v>
      </c>
      <c r="H69" s="8">
        <v>2500</v>
      </c>
      <c r="I69" s="8">
        <f t="shared" si="0"/>
        <v>820000</v>
      </c>
      <c r="J69" s="8">
        <f t="shared" si="1"/>
        <v>41000</v>
      </c>
      <c r="K69" s="8">
        <f t="shared" si="2"/>
        <v>861000</v>
      </c>
      <c r="L69" s="8">
        <v>5000</v>
      </c>
      <c r="M69" s="8">
        <f t="shared" si="3"/>
        <v>43050</v>
      </c>
      <c r="N69" s="8">
        <f t="shared" si="4"/>
        <v>817950</v>
      </c>
      <c r="O69" s="8">
        <f t="shared" si="5"/>
        <v>27866.666666666668</v>
      </c>
      <c r="P69" s="11">
        <f t="shared" si="6"/>
        <v>19133.333333333332</v>
      </c>
      <c r="Q69" s="8">
        <f t="shared" si="7"/>
        <v>86100</v>
      </c>
      <c r="R69" s="11">
        <f t="shared" si="8"/>
        <v>15325.641025641025</v>
      </c>
      <c r="S69" s="8">
        <f t="shared" si="9"/>
        <v>14266.666666666666</v>
      </c>
      <c r="T69" s="11">
        <f t="shared" si="10"/>
        <v>86100</v>
      </c>
      <c r="U69" s="11">
        <f t="shared" si="11"/>
        <v>7736.363636363636</v>
      </c>
    </row>
    <row r="70" spans="2:21">
      <c r="B70" s="9">
        <v>10</v>
      </c>
      <c r="C70" s="9">
        <v>1</v>
      </c>
      <c r="D70" s="9">
        <v>483</v>
      </c>
      <c r="E70" s="10" t="s">
        <v>35</v>
      </c>
      <c r="F70" s="10" t="s">
        <v>19</v>
      </c>
      <c r="G70" s="10" t="s">
        <v>40</v>
      </c>
      <c r="H70" s="8">
        <v>2500</v>
      </c>
      <c r="I70" s="8">
        <f t="shared" si="0"/>
        <v>1207500</v>
      </c>
      <c r="J70" s="8">
        <f t="shared" si="1"/>
        <v>60375</v>
      </c>
      <c r="K70" s="8">
        <f t="shared" si="2"/>
        <v>1267875</v>
      </c>
      <c r="L70" s="8">
        <v>5000</v>
      </c>
      <c r="M70" s="8">
        <f t="shared" si="3"/>
        <v>63393.75</v>
      </c>
      <c r="N70" s="8">
        <f t="shared" si="4"/>
        <v>1204481.25</v>
      </c>
      <c r="O70" s="8">
        <f t="shared" si="5"/>
        <v>41429.166666666664</v>
      </c>
      <c r="P70" s="11">
        <f t="shared" si="6"/>
        <v>28175</v>
      </c>
      <c r="Q70" s="8">
        <f t="shared" si="7"/>
        <v>126787.5</v>
      </c>
      <c r="R70" s="11">
        <f t="shared" si="8"/>
        <v>22628.525641025641</v>
      </c>
      <c r="S70" s="8">
        <f t="shared" si="9"/>
        <v>21047.916666666668</v>
      </c>
      <c r="T70" s="11">
        <f t="shared" si="10"/>
        <v>126787.5</v>
      </c>
      <c r="U70" s="11">
        <f t="shared" si="11"/>
        <v>11435.227272727272</v>
      </c>
    </row>
    <row r="71" spans="2:21">
      <c r="B71" s="9">
        <v>10</v>
      </c>
      <c r="C71" s="9">
        <v>2</v>
      </c>
      <c r="D71" s="9">
        <v>502</v>
      </c>
      <c r="E71" s="10" t="s">
        <v>35</v>
      </c>
      <c r="F71" s="10" t="s">
        <v>43</v>
      </c>
      <c r="G71" s="10" t="s">
        <v>40</v>
      </c>
      <c r="H71" s="8">
        <v>2500</v>
      </c>
      <c r="I71" s="8">
        <f t="shared" si="0"/>
        <v>1255000</v>
      </c>
      <c r="J71" s="8">
        <f t="shared" si="1"/>
        <v>62750</v>
      </c>
      <c r="K71" s="8">
        <f t="shared" si="2"/>
        <v>1317750</v>
      </c>
      <c r="L71" s="8">
        <v>5000</v>
      </c>
      <c r="M71" s="8">
        <f t="shared" si="3"/>
        <v>65887.5</v>
      </c>
      <c r="N71" s="8">
        <f t="shared" si="4"/>
        <v>1251862.5</v>
      </c>
      <c r="O71" s="8">
        <f t="shared" si="5"/>
        <v>43091.666666666664</v>
      </c>
      <c r="P71" s="11">
        <f t="shared" si="6"/>
        <v>29283.333333333332</v>
      </c>
      <c r="Q71" s="8">
        <f t="shared" si="7"/>
        <v>131775</v>
      </c>
      <c r="R71" s="11">
        <f t="shared" si="8"/>
        <v>23523.717948717946</v>
      </c>
      <c r="S71" s="8">
        <f t="shared" si="9"/>
        <v>21879.166666666668</v>
      </c>
      <c r="T71" s="11">
        <f t="shared" si="10"/>
        <v>131775</v>
      </c>
      <c r="U71" s="11">
        <f t="shared" si="11"/>
        <v>11888.636363636364</v>
      </c>
    </row>
    <row r="72" spans="2:21">
      <c r="B72" s="12" t="s">
        <v>44</v>
      </c>
    </row>
    <row r="73" spans="2:21">
      <c r="D73" s="2" t="s">
        <v>38</v>
      </c>
      <c r="E73" s="1" t="s">
        <v>45</v>
      </c>
    </row>
    <row r="74" spans="2:21">
      <c r="D74" s="2" t="s">
        <v>36</v>
      </c>
      <c r="E74" s="1" t="s">
        <v>46</v>
      </c>
    </row>
    <row r="75" spans="2:21">
      <c r="D75" s="2" t="s">
        <v>39</v>
      </c>
      <c r="E75" s="1" t="s">
        <v>47</v>
      </c>
    </row>
    <row r="76" spans="2:21">
      <c r="D76" s="2" t="s">
        <v>40</v>
      </c>
      <c r="E76" s="1" t="s">
        <v>48</v>
      </c>
    </row>
  </sheetData>
  <mergeCells count="22">
    <mergeCell ref="G5:G7"/>
    <mergeCell ref="B5:B7"/>
    <mergeCell ref="C5:C7"/>
    <mergeCell ref="D5:D7"/>
    <mergeCell ref="E5:E7"/>
    <mergeCell ref="F5:F7"/>
    <mergeCell ref="H5:H7"/>
    <mergeCell ref="I5:I7"/>
    <mergeCell ref="J5:J7"/>
    <mergeCell ref="K5:K7"/>
    <mergeCell ref="L5:L7"/>
    <mergeCell ref="O5:P5"/>
    <mergeCell ref="Q5:R5"/>
    <mergeCell ref="S5:T5"/>
    <mergeCell ref="M6:N6"/>
    <mergeCell ref="O6:O7"/>
    <mergeCell ref="P6:P7"/>
    <mergeCell ref="Q6:Q7"/>
    <mergeCell ref="R6:R7"/>
    <mergeCell ref="S6:S7"/>
    <mergeCell ref="T6:T7"/>
    <mergeCell ref="M5:N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V77"/>
  <sheetViews>
    <sheetView workbookViewId="0">
      <selection sqref="A1:XFD1048576"/>
    </sheetView>
  </sheetViews>
  <sheetFormatPr defaultRowHeight="11.25"/>
  <cols>
    <col min="1" max="1" width="9.140625" style="1"/>
    <col min="2" max="2" width="4.28515625" style="2" customWidth="1"/>
    <col min="3" max="3" width="3.7109375" style="2" customWidth="1"/>
    <col min="4" max="4" width="7.7109375" style="2" bestFit="1" customWidth="1"/>
    <col min="5" max="5" width="6.7109375" style="1" customWidth="1"/>
    <col min="6" max="6" width="5.42578125" style="1" hidden="1" customWidth="1"/>
    <col min="7" max="7" width="3" style="1" customWidth="1"/>
    <col min="8" max="8" width="6.7109375" style="1" hidden="1" customWidth="1"/>
    <col min="9" max="9" width="10.7109375" style="1" customWidth="1"/>
    <col min="10" max="10" width="7.42578125" style="5" customWidth="1"/>
    <col min="11" max="11" width="9.28515625" style="5" customWidth="1"/>
    <col min="12" max="12" width="7" style="5" customWidth="1"/>
    <col min="13" max="13" width="7.85546875" style="5" hidden="1" customWidth="1"/>
    <col min="14" max="14" width="8" style="5" hidden="1" customWidth="1"/>
    <col min="15" max="15" width="7.42578125" style="5" hidden="1" customWidth="1"/>
    <col min="16" max="16" width="9" style="6" hidden="1" customWidth="1"/>
    <col min="17" max="17" width="7.85546875" style="1" hidden="1" customWidth="1"/>
    <col min="18" max="18" width="8.7109375" style="1" hidden="1" customWidth="1"/>
    <col min="19" max="19" width="11.85546875" style="1" customWidth="1"/>
    <col min="20" max="20" width="12.85546875" style="1" customWidth="1"/>
    <col min="21" max="21" width="9.140625" style="1"/>
    <col min="22" max="22" width="11.140625" style="1" bestFit="1" customWidth="1"/>
    <col min="23" max="16384" width="9.140625" style="1"/>
  </cols>
  <sheetData>
    <row r="1" spans="1:22">
      <c r="A1" s="3"/>
      <c r="B1" s="4" t="s">
        <v>12</v>
      </c>
    </row>
    <row r="2" spans="1:22">
      <c r="A2" s="3"/>
      <c r="B2" s="4" t="s">
        <v>13</v>
      </c>
    </row>
    <row r="3" spans="1:22">
      <c r="A3" s="3"/>
      <c r="B3" s="4" t="s">
        <v>14</v>
      </c>
    </row>
    <row r="4" spans="1:22">
      <c r="A4" s="3"/>
      <c r="B4" s="4" t="s">
        <v>54</v>
      </c>
    </row>
    <row r="5" spans="1:22" s="3" customFormat="1" ht="15" customHeight="1">
      <c r="B5" s="422" t="s">
        <v>15</v>
      </c>
      <c r="C5" s="422" t="s">
        <v>16</v>
      </c>
      <c r="D5" s="422" t="s">
        <v>17</v>
      </c>
      <c r="E5" s="422" t="s">
        <v>18</v>
      </c>
      <c r="F5" s="422" t="s">
        <v>19</v>
      </c>
      <c r="G5" s="422" t="s">
        <v>20</v>
      </c>
      <c r="H5" s="422" t="s">
        <v>21</v>
      </c>
      <c r="I5" s="424" t="s">
        <v>22</v>
      </c>
      <c r="J5" s="424" t="s">
        <v>23</v>
      </c>
      <c r="K5" s="424" t="s">
        <v>24</v>
      </c>
      <c r="L5" s="424" t="s">
        <v>25</v>
      </c>
      <c r="M5" s="423" t="s">
        <v>6</v>
      </c>
      <c r="N5" s="423"/>
      <c r="O5" s="410" t="s">
        <v>26</v>
      </c>
      <c r="P5" s="411"/>
      <c r="Q5" s="410" t="s">
        <v>7</v>
      </c>
      <c r="R5" s="411"/>
      <c r="S5" s="412" t="s">
        <v>6</v>
      </c>
      <c r="T5" s="413"/>
      <c r="U5" s="25" t="s">
        <v>26</v>
      </c>
    </row>
    <row r="6" spans="1:22" s="7" customFormat="1" ht="72" customHeight="1">
      <c r="B6" s="422"/>
      <c r="C6" s="422"/>
      <c r="D6" s="422"/>
      <c r="E6" s="422"/>
      <c r="F6" s="422"/>
      <c r="G6" s="422"/>
      <c r="H6" s="422"/>
      <c r="I6" s="424"/>
      <c r="J6" s="424"/>
      <c r="K6" s="424"/>
      <c r="L6" s="424"/>
      <c r="M6" s="414" t="s">
        <v>27</v>
      </c>
      <c r="N6" s="415"/>
      <c r="O6" s="416" t="s">
        <v>28</v>
      </c>
      <c r="P6" s="418" t="s">
        <v>29</v>
      </c>
      <c r="Q6" s="420" t="s">
        <v>30</v>
      </c>
      <c r="R6" s="420" t="s">
        <v>31</v>
      </c>
      <c r="S6" s="420" t="s">
        <v>32</v>
      </c>
      <c r="T6" s="422" t="s">
        <v>55</v>
      </c>
      <c r="U6" s="26" t="s">
        <v>56</v>
      </c>
    </row>
    <row r="7" spans="1:22">
      <c r="B7" s="422"/>
      <c r="C7" s="422"/>
      <c r="D7" s="422"/>
      <c r="E7" s="422"/>
      <c r="F7" s="422"/>
      <c r="G7" s="422"/>
      <c r="H7" s="422"/>
      <c r="I7" s="424"/>
      <c r="J7" s="424"/>
      <c r="K7" s="424"/>
      <c r="L7" s="424"/>
      <c r="M7" s="8" t="s">
        <v>33</v>
      </c>
      <c r="N7" s="8" t="s">
        <v>34</v>
      </c>
      <c r="O7" s="417"/>
      <c r="P7" s="419"/>
      <c r="Q7" s="421"/>
      <c r="R7" s="421"/>
      <c r="S7" s="421"/>
      <c r="T7" s="422"/>
      <c r="U7" s="27"/>
    </row>
    <row r="8" spans="1:22">
      <c r="B8" s="9">
        <v>1</v>
      </c>
      <c r="C8" s="9">
        <v>1</v>
      </c>
      <c r="D8" s="9">
        <v>423</v>
      </c>
      <c r="E8" s="10" t="s">
        <v>35</v>
      </c>
      <c r="F8" s="10" t="s">
        <v>19</v>
      </c>
      <c r="G8" s="10" t="s">
        <v>36</v>
      </c>
      <c r="H8" s="8">
        <v>950</v>
      </c>
      <c r="I8" s="8">
        <f t="shared" ref="I8:I71" si="0">D8*H8</f>
        <v>401850</v>
      </c>
      <c r="J8" s="8">
        <f>I8*0.05</f>
        <v>20092.5</v>
      </c>
      <c r="K8" s="8">
        <f>J8+I8</f>
        <v>421942.5</v>
      </c>
      <c r="L8" s="8">
        <v>5000</v>
      </c>
      <c r="M8" s="8">
        <f>K8*0.05</f>
        <v>21097.125</v>
      </c>
      <c r="N8" s="8">
        <f>K8-M8</f>
        <v>400845.375</v>
      </c>
      <c r="O8" s="8">
        <f>(K8*0.2-L8)/6</f>
        <v>13231.416666666666</v>
      </c>
      <c r="P8" s="11">
        <f>K8*0.8/36</f>
        <v>9376.5</v>
      </c>
      <c r="Q8" s="8">
        <f>K8*0.1</f>
        <v>42194.25</v>
      </c>
      <c r="R8" s="11">
        <f>(K8*0.7-L8)/39</f>
        <v>7445.1217948717949</v>
      </c>
      <c r="S8" s="8">
        <f>K8*0.2*0.97-L8</f>
        <v>76856.845000000001</v>
      </c>
      <c r="T8" s="11">
        <f>K8*0.8/60</f>
        <v>5625.9</v>
      </c>
      <c r="U8" s="11">
        <f>(K8-L8)/60</f>
        <v>6949.041666666667</v>
      </c>
      <c r="V8" s="6"/>
    </row>
    <row r="9" spans="1:22">
      <c r="B9" s="9">
        <v>2</v>
      </c>
      <c r="C9" s="9">
        <v>1</v>
      </c>
      <c r="D9" s="9">
        <v>201</v>
      </c>
      <c r="E9" s="10" t="s">
        <v>35</v>
      </c>
      <c r="F9" s="10" t="s">
        <v>19</v>
      </c>
      <c r="G9" s="10" t="s">
        <v>36</v>
      </c>
      <c r="H9" s="8">
        <f>H8</f>
        <v>950</v>
      </c>
      <c r="I9" s="8">
        <f t="shared" si="0"/>
        <v>190950</v>
      </c>
      <c r="J9" s="8">
        <f t="shared" ref="J9:J71" si="1">I9*0.05</f>
        <v>9547.5</v>
      </c>
      <c r="K9" s="8">
        <f t="shared" ref="K9:K71" si="2">J9+I9</f>
        <v>200497.5</v>
      </c>
      <c r="L9" s="8">
        <v>5000</v>
      </c>
      <c r="M9" s="8">
        <f t="shared" ref="M9:M71" si="3">K9*0.05</f>
        <v>10024.875</v>
      </c>
      <c r="N9" s="8">
        <f t="shared" ref="N9:N71" si="4">K9-M9</f>
        <v>190472.625</v>
      </c>
      <c r="O9" s="8">
        <f t="shared" ref="O9:O71" si="5">(K9*0.2-L9)/6</f>
        <v>5849.916666666667</v>
      </c>
      <c r="P9" s="11">
        <f t="shared" ref="P9:P71" si="6">K9*0.8/36</f>
        <v>4455.5</v>
      </c>
      <c r="Q9" s="8">
        <f t="shared" ref="Q9:Q71" si="7">K9*0.1</f>
        <v>20049.75</v>
      </c>
      <c r="R9" s="11">
        <f t="shared" ref="R9:R71" si="8">(K9*0.7-L9)/39</f>
        <v>3470.4679487179487</v>
      </c>
      <c r="S9" s="8">
        <f t="shared" ref="S9:S71" si="9">K9*0.2*0.97-L9</f>
        <v>33896.514999999999</v>
      </c>
      <c r="T9" s="11">
        <f t="shared" ref="T9:T71" si="10">K9*0.8/60</f>
        <v>2673.3</v>
      </c>
      <c r="U9" s="11">
        <f t="shared" ref="U9:U71" si="11">(K9-L9)/60</f>
        <v>3258.2916666666665</v>
      </c>
    </row>
    <row r="10" spans="1:22">
      <c r="B10" s="9">
        <v>2</v>
      </c>
      <c r="C10" s="9">
        <v>2</v>
      </c>
      <c r="D10" s="9">
        <v>240</v>
      </c>
      <c r="E10" s="10" t="s">
        <v>37</v>
      </c>
      <c r="F10" s="10" t="s">
        <v>19</v>
      </c>
      <c r="G10" s="10" t="s">
        <v>36</v>
      </c>
      <c r="H10" s="8">
        <f>[1]Pricing!E16</f>
        <v>1050</v>
      </c>
      <c r="I10" s="8">
        <f t="shared" si="0"/>
        <v>252000</v>
      </c>
      <c r="J10" s="8">
        <f t="shared" si="1"/>
        <v>12600</v>
      </c>
      <c r="K10" s="8">
        <f t="shared" si="2"/>
        <v>264600</v>
      </c>
      <c r="L10" s="8">
        <v>5000</v>
      </c>
      <c r="M10" s="8">
        <f t="shared" si="3"/>
        <v>13230</v>
      </c>
      <c r="N10" s="8">
        <f t="shared" si="4"/>
        <v>251370</v>
      </c>
      <c r="O10" s="8">
        <f t="shared" si="5"/>
        <v>7986.666666666667</v>
      </c>
      <c r="P10" s="11">
        <f t="shared" si="6"/>
        <v>5880</v>
      </c>
      <c r="Q10" s="8">
        <f t="shared" si="7"/>
        <v>26460</v>
      </c>
      <c r="R10" s="11">
        <f t="shared" si="8"/>
        <v>4621.0256410256407</v>
      </c>
      <c r="S10" s="8">
        <f t="shared" si="9"/>
        <v>46332.4</v>
      </c>
      <c r="T10" s="11">
        <f t="shared" si="10"/>
        <v>3528</v>
      </c>
      <c r="U10" s="11">
        <f t="shared" si="11"/>
        <v>4326.666666666667</v>
      </c>
    </row>
    <row r="11" spans="1:22">
      <c r="B11" s="9">
        <v>2</v>
      </c>
      <c r="C11" s="9">
        <v>3</v>
      </c>
      <c r="D11" s="9">
        <v>240</v>
      </c>
      <c r="E11" s="10" t="s">
        <v>37</v>
      </c>
      <c r="F11" s="10" t="s">
        <v>19</v>
      </c>
      <c r="G11" s="10" t="s">
        <v>36</v>
      </c>
      <c r="H11" s="8">
        <f>H10</f>
        <v>1050</v>
      </c>
      <c r="I11" s="8">
        <f t="shared" si="0"/>
        <v>252000</v>
      </c>
      <c r="J11" s="8">
        <f t="shared" si="1"/>
        <v>12600</v>
      </c>
      <c r="K11" s="8">
        <f t="shared" si="2"/>
        <v>264600</v>
      </c>
      <c r="L11" s="8">
        <v>5000</v>
      </c>
      <c r="M11" s="8">
        <f t="shared" si="3"/>
        <v>13230</v>
      </c>
      <c r="N11" s="8">
        <f t="shared" si="4"/>
        <v>251370</v>
      </c>
      <c r="O11" s="8">
        <f t="shared" si="5"/>
        <v>7986.666666666667</v>
      </c>
      <c r="P11" s="11">
        <f t="shared" si="6"/>
        <v>5880</v>
      </c>
      <c r="Q11" s="8">
        <f t="shared" si="7"/>
        <v>26460</v>
      </c>
      <c r="R11" s="11">
        <f t="shared" si="8"/>
        <v>4621.0256410256407</v>
      </c>
      <c r="S11" s="8">
        <f t="shared" si="9"/>
        <v>46332.4</v>
      </c>
      <c r="T11" s="11">
        <f t="shared" si="10"/>
        <v>3528</v>
      </c>
      <c r="U11" s="11">
        <f t="shared" si="11"/>
        <v>4326.666666666667</v>
      </c>
    </row>
    <row r="12" spans="1:22" ht="12" customHeight="1">
      <c r="B12" s="9">
        <v>2</v>
      </c>
      <c r="C12" s="9">
        <v>4</v>
      </c>
      <c r="D12" s="9">
        <v>369</v>
      </c>
      <c r="E12" s="10" t="s">
        <v>35</v>
      </c>
      <c r="F12" s="10" t="s">
        <v>19</v>
      </c>
      <c r="G12" s="10" t="s">
        <v>36</v>
      </c>
      <c r="H12" s="8">
        <f>H8</f>
        <v>950</v>
      </c>
      <c r="I12" s="8">
        <f t="shared" si="0"/>
        <v>350550</v>
      </c>
      <c r="J12" s="8">
        <f t="shared" si="1"/>
        <v>17527.5</v>
      </c>
      <c r="K12" s="8">
        <f t="shared" si="2"/>
        <v>368077.5</v>
      </c>
      <c r="L12" s="8">
        <v>5000</v>
      </c>
      <c r="M12" s="8">
        <f t="shared" si="3"/>
        <v>18403.875</v>
      </c>
      <c r="N12" s="8">
        <f t="shared" si="4"/>
        <v>349673.625</v>
      </c>
      <c r="O12" s="8">
        <f t="shared" si="5"/>
        <v>11435.916666666666</v>
      </c>
      <c r="P12" s="11">
        <f t="shared" si="6"/>
        <v>8179.5</v>
      </c>
      <c r="Q12" s="8">
        <f t="shared" si="7"/>
        <v>36807.75</v>
      </c>
      <c r="R12" s="11">
        <f t="shared" si="8"/>
        <v>6478.3141025641016</v>
      </c>
      <c r="S12" s="8">
        <f t="shared" si="9"/>
        <v>66407.035000000003</v>
      </c>
      <c r="T12" s="11">
        <f t="shared" si="10"/>
        <v>4907.7</v>
      </c>
      <c r="U12" s="11">
        <f t="shared" si="11"/>
        <v>6051.291666666667</v>
      </c>
    </row>
    <row r="13" spans="1:22">
      <c r="B13" s="9">
        <v>3</v>
      </c>
      <c r="C13" s="9">
        <v>1</v>
      </c>
      <c r="D13" s="9">
        <v>383</v>
      </c>
      <c r="E13" s="10" t="s">
        <v>35</v>
      </c>
      <c r="F13" s="10" t="s">
        <v>19</v>
      </c>
      <c r="G13" s="10" t="s">
        <v>38</v>
      </c>
      <c r="H13" s="8">
        <f>[1]Pricing!E5</f>
        <v>1200</v>
      </c>
      <c r="I13" s="8">
        <f>D13*H13</f>
        <v>459600</v>
      </c>
      <c r="J13" s="8">
        <f t="shared" si="1"/>
        <v>22980</v>
      </c>
      <c r="K13" s="8">
        <f t="shared" si="2"/>
        <v>482580</v>
      </c>
      <c r="L13" s="8">
        <v>5000</v>
      </c>
      <c r="M13" s="8">
        <f>K13*0.05</f>
        <v>24129</v>
      </c>
      <c r="N13" s="8">
        <f t="shared" si="4"/>
        <v>458451</v>
      </c>
      <c r="O13" s="8">
        <f t="shared" si="5"/>
        <v>15252.666666666666</v>
      </c>
      <c r="P13" s="11">
        <f t="shared" si="6"/>
        <v>10724</v>
      </c>
      <c r="Q13" s="8">
        <f>K13*0.1</f>
        <v>48258</v>
      </c>
      <c r="R13" s="11">
        <f t="shared" si="8"/>
        <v>8533.4871794871797</v>
      </c>
      <c r="S13" s="8">
        <f>K13*0.2*0.97-L13</f>
        <v>88620.52</v>
      </c>
      <c r="T13" s="11">
        <f t="shared" si="10"/>
        <v>6434.4</v>
      </c>
      <c r="U13" s="11">
        <f t="shared" si="11"/>
        <v>7959.666666666667</v>
      </c>
    </row>
    <row r="14" spans="1:22">
      <c r="B14" s="9">
        <v>3</v>
      </c>
      <c r="C14" s="9">
        <v>2</v>
      </c>
      <c r="D14" s="9">
        <v>263</v>
      </c>
      <c r="E14" s="10" t="s">
        <v>37</v>
      </c>
      <c r="F14" s="10" t="s">
        <v>19</v>
      </c>
      <c r="G14" s="10" t="s">
        <v>39</v>
      </c>
      <c r="H14" s="8">
        <f>[1]Pricing!E17</f>
        <v>950</v>
      </c>
      <c r="I14" s="8">
        <f t="shared" si="0"/>
        <v>249850</v>
      </c>
      <c r="J14" s="8">
        <f t="shared" si="1"/>
        <v>12492.5</v>
      </c>
      <c r="K14" s="8">
        <f t="shared" si="2"/>
        <v>262342.5</v>
      </c>
      <c r="L14" s="8">
        <v>5000</v>
      </c>
      <c r="M14" s="8">
        <f t="shared" si="3"/>
        <v>13117.125</v>
      </c>
      <c r="N14" s="8">
        <f t="shared" si="4"/>
        <v>249225.375</v>
      </c>
      <c r="O14" s="8">
        <f t="shared" si="5"/>
        <v>7911.416666666667</v>
      </c>
      <c r="P14" s="11">
        <f t="shared" si="6"/>
        <v>5829.833333333333</v>
      </c>
      <c r="Q14" s="8">
        <f t="shared" si="7"/>
        <v>26234.25</v>
      </c>
      <c r="R14" s="11">
        <f t="shared" si="8"/>
        <v>4580.5064102564102</v>
      </c>
      <c r="S14" s="8">
        <f t="shared" si="9"/>
        <v>45894.445</v>
      </c>
      <c r="T14" s="11">
        <f t="shared" si="10"/>
        <v>3497.9</v>
      </c>
      <c r="U14" s="11">
        <f t="shared" si="11"/>
        <v>4289.041666666667</v>
      </c>
    </row>
    <row r="15" spans="1:22">
      <c r="B15" s="9">
        <v>3</v>
      </c>
      <c r="C15" s="9">
        <v>3</v>
      </c>
      <c r="D15" s="9">
        <v>246</v>
      </c>
      <c r="E15" s="10" t="s">
        <v>37</v>
      </c>
      <c r="F15" s="10" t="s">
        <v>19</v>
      </c>
      <c r="G15" s="10" t="s">
        <v>39</v>
      </c>
      <c r="H15" s="8">
        <f>H14</f>
        <v>950</v>
      </c>
      <c r="I15" s="8">
        <f t="shared" si="0"/>
        <v>233700</v>
      </c>
      <c r="J15" s="8">
        <f t="shared" si="1"/>
        <v>11685</v>
      </c>
      <c r="K15" s="8">
        <f t="shared" si="2"/>
        <v>245385</v>
      </c>
      <c r="L15" s="8">
        <v>5000</v>
      </c>
      <c r="M15" s="8">
        <f t="shared" si="3"/>
        <v>12269.25</v>
      </c>
      <c r="N15" s="8">
        <f t="shared" si="4"/>
        <v>233115.75</v>
      </c>
      <c r="O15" s="8">
        <f t="shared" si="5"/>
        <v>7346.166666666667</v>
      </c>
      <c r="P15" s="11">
        <f t="shared" si="6"/>
        <v>5453</v>
      </c>
      <c r="Q15" s="8">
        <f t="shared" si="7"/>
        <v>24538.5</v>
      </c>
      <c r="R15" s="11">
        <f t="shared" si="8"/>
        <v>4276.1410256410254</v>
      </c>
      <c r="S15" s="8">
        <f t="shared" si="9"/>
        <v>42604.69</v>
      </c>
      <c r="T15" s="11">
        <f t="shared" si="10"/>
        <v>3271.8</v>
      </c>
      <c r="U15" s="11">
        <f t="shared" si="11"/>
        <v>4006.4166666666665</v>
      </c>
    </row>
    <row r="16" spans="1:22">
      <c r="B16" s="9">
        <v>3</v>
      </c>
      <c r="C16" s="9">
        <v>4</v>
      </c>
      <c r="D16" s="9">
        <v>237</v>
      </c>
      <c r="E16" s="10" t="s">
        <v>37</v>
      </c>
      <c r="F16" s="10" t="s">
        <v>19</v>
      </c>
      <c r="G16" s="10" t="s">
        <v>40</v>
      </c>
      <c r="H16" s="8">
        <f>[1]Pricing!E18</f>
        <v>850</v>
      </c>
      <c r="I16" s="8">
        <f t="shared" si="0"/>
        <v>201450</v>
      </c>
      <c r="J16" s="8">
        <f t="shared" si="1"/>
        <v>10072.5</v>
      </c>
      <c r="K16" s="8">
        <f t="shared" si="2"/>
        <v>211522.5</v>
      </c>
      <c r="L16" s="8">
        <v>5000</v>
      </c>
      <c r="M16" s="8">
        <f t="shared" si="3"/>
        <v>10576.125</v>
      </c>
      <c r="N16" s="8">
        <f t="shared" si="4"/>
        <v>200946.375</v>
      </c>
      <c r="O16" s="8">
        <f t="shared" si="5"/>
        <v>6217.416666666667</v>
      </c>
      <c r="P16" s="11">
        <f t="shared" si="6"/>
        <v>4700.5</v>
      </c>
      <c r="Q16" s="8">
        <f t="shared" si="7"/>
        <v>21152.25</v>
      </c>
      <c r="R16" s="11">
        <f t="shared" si="8"/>
        <v>3668.352564102564</v>
      </c>
      <c r="S16" s="8">
        <f t="shared" si="9"/>
        <v>36035.364999999998</v>
      </c>
      <c r="T16" s="11">
        <f t="shared" si="10"/>
        <v>2820.3</v>
      </c>
      <c r="U16" s="11">
        <f t="shared" si="11"/>
        <v>3442.0416666666665</v>
      </c>
    </row>
    <row r="17" spans="2:21">
      <c r="B17" s="9">
        <v>3</v>
      </c>
      <c r="C17" s="9">
        <v>5</v>
      </c>
      <c r="D17" s="9">
        <v>232</v>
      </c>
      <c r="E17" s="10" t="s">
        <v>37</v>
      </c>
      <c r="F17" s="10" t="s">
        <v>19</v>
      </c>
      <c r="G17" s="10" t="s">
        <v>39</v>
      </c>
      <c r="H17" s="8">
        <f>H14</f>
        <v>950</v>
      </c>
      <c r="I17" s="8">
        <f t="shared" si="0"/>
        <v>220400</v>
      </c>
      <c r="J17" s="8">
        <f t="shared" si="1"/>
        <v>11020</v>
      </c>
      <c r="K17" s="8">
        <f t="shared" si="2"/>
        <v>231420</v>
      </c>
      <c r="L17" s="8">
        <v>5000</v>
      </c>
      <c r="M17" s="8">
        <f t="shared" si="3"/>
        <v>11571</v>
      </c>
      <c r="N17" s="8">
        <f t="shared" si="4"/>
        <v>219849</v>
      </c>
      <c r="O17" s="8">
        <f t="shared" si="5"/>
        <v>6880.666666666667</v>
      </c>
      <c r="P17" s="11">
        <f t="shared" si="6"/>
        <v>5142.666666666667</v>
      </c>
      <c r="Q17" s="8">
        <f t="shared" si="7"/>
        <v>23142</v>
      </c>
      <c r="R17" s="11">
        <f t="shared" si="8"/>
        <v>4025.4871794871797</v>
      </c>
      <c r="S17" s="8">
        <f t="shared" si="9"/>
        <v>39895.479999999996</v>
      </c>
      <c r="T17" s="11">
        <f t="shared" si="10"/>
        <v>3085.6</v>
      </c>
      <c r="U17" s="11">
        <f t="shared" si="11"/>
        <v>3773.6666666666665</v>
      </c>
    </row>
    <row r="18" spans="2:21">
      <c r="B18" s="9">
        <v>3</v>
      </c>
      <c r="C18" s="9">
        <v>6</v>
      </c>
      <c r="D18" s="9">
        <v>211</v>
      </c>
      <c r="E18" s="10" t="s">
        <v>35</v>
      </c>
      <c r="F18" s="10" t="s">
        <v>19</v>
      </c>
      <c r="G18" s="10" t="s">
        <v>40</v>
      </c>
      <c r="H18" s="8">
        <f>[1]Pricing!E8</f>
        <v>900</v>
      </c>
      <c r="I18" s="8">
        <f t="shared" si="0"/>
        <v>189900</v>
      </c>
      <c r="J18" s="8">
        <f t="shared" si="1"/>
        <v>9495</v>
      </c>
      <c r="K18" s="8">
        <f t="shared" si="2"/>
        <v>199395</v>
      </c>
      <c r="L18" s="8">
        <v>5000</v>
      </c>
      <c r="M18" s="8">
        <f t="shared" si="3"/>
        <v>9969.75</v>
      </c>
      <c r="N18" s="8">
        <f t="shared" si="4"/>
        <v>189425.25</v>
      </c>
      <c r="O18" s="8" t="s">
        <v>41</v>
      </c>
      <c r="P18" s="11">
        <f t="shared" si="6"/>
        <v>4431</v>
      </c>
      <c r="Q18" s="8">
        <f t="shared" si="7"/>
        <v>19939.5</v>
      </c>
      <c r="R18" s="11">
        <f t="shared" si="8"/>
        <v>3450.6794871794873</v>
      </c>
      <c r="S18" s="8">
        <f t="shared" si="9"/>
        <v>33682.629999999997</v>
      </c>
      <c r="T18" s="11">
        <f t="shared" si="10"/>
        <v>2658.6</v>
      </c>
      <c r="U18" s="11">
        <f t="shared" si="11"/>
        <v>3239.9166666666665</v>
      </c>
    </row>
    <row r="19" spans="2:21">
      <c r="B19" s="9">
        <v>3</v>
      </c>
      <c r="C19" s="9">
        <v>7</v>
      </c>
      <c r="D19" s="9">
        <v>265</v>
      </c>
      <c r="E19" s="10" t="s">
        <v>35</v>
      </c>
      <c r="F19" s="10" t="s">
        <v>19</v>
      </c>
      <c r="G19" s="10" t="s">
        <v>39</v>
      </c>
      <c r="H19" s="8">
        <f>[1]Pricing!E7</f>
        <v>1000</v>
      </c>
      <c r="I19" s="8">
        <f t="shared" si="0"/>
        <v>265000</v>
      </c>
      <c r="J19" s="8">
        <f t="shared" si="1"/>
        <v>13250</v>
      </c>
      <c r="K19" s="8">
        <f t="shared" si="2"/>
        <v>278250</v>
      </c>
      <c r="L19" s="8">
        <v>5000</v>
      </c>
      <c r="M19" s="8">
        <f t="shared" si="3"/>
        <v>13912.5</v>
      </c>
      <c r="N19" s="8">
        <f t="shared" si="4"/>
        <v>264337.5</v>
      </c>
      <c r="O19" s="8">
        <f t="shared" si="5"/>
        <v>8441.6666666666661</v>
      </c>
      <c r="P19" s="11">
        <f t="shared" si="6"/>
        <v>6183.333333333333</v>
      </c>
      <c r="Q19" s="8">
        <f t="shared" si="7"/>
        <v>27825</v>
      </c>
      <c r="R19" s="11">
        <f t="shared" si="8"/>
        <v>4866.0256410256407</v>
      </c>
      <c r="S19" s="8">
        <f t="shared" si="9"/>
        <v>48980.5</v>
      </c>
      <c r="T19" s="11">
        <f t="shared" si="10"/>
        <v>3710</v>
      </c>
      <c r="U19" s="11">
        <f t="shared" si="11"/>
        <v>4554.166666666667</v>
      </c>
    </row>
    <row r="20" spans="2:21">
      <c r="B20" s="9">
        <v>4</v>
      </c>
      <c r="C20" s="9">
        <v>1</v>
      </c>
      <c r="D20" s="9">
        <v>471</v>
      </c>
      <c r="E20" s="10" t="s">
        <v>35</v>
      </c>
      <c r="F20" s="10" t="s">
        <v>19</v>
      </c>
      <c r="G20" s="10" t="s">
        <v>40</v>
      </c>
      <c r="H20" s="8">
        <f>[1]Pricing!E8</f>
        <v>900</v>
      </c>
      <c r="I20" s="8">
        <f t="shared" si="0"/>
        <v>423900</v>
      </c>
      <c r="J20" s="8">
        <f t="shared" si="1"/>
        <v>21195</v>
      </c>
      <c r="K20" s="8">
        <f t="shared" si="2"/>
        <v>445095</v>
      </c>
      <c r="L20" s="8">
        <v>5000</v>
      </c>
      <c r="M20" s="8">
        <f t="shared" si="3"/>
        <v>22254.75</v>
      </c>
      <c r="N20" s="8">
        <f t="shared" si="4"/>
        <v>422840.25</v>
      </c>
      <c r="O20" s="8">
        <f t="shared" si="5"/>
        <v>14003.166666666666</v>
      </c>
      <c r="P20" s="11">
        <f t="shared" si="6"/>
        <v>9891</v>
      </c>
      <c r="Q20" s="8">
        <f t="shared" si="7"/>
        <v>44509.5</v>
      </c>
      <c r="R20" s="11">
        <f t="shared" si="8"/>
        <v>7860.6794871794873</v>
      </c>
      <c r="S20" s="8">
        <f t="shared" si="9"/>
        <v>81348.429999999993</v>
      </c>
      <c r="T20" s="11">
        <f t="shared" si="10"/>
        <v>5934.6</v>
      </c>
      <c r="U20" s="11">
        <f t="shared" si="11"/>
        <v>7334.916666666667</v>
      </c>
    </row>
    <row r="21" spans="2:21">
      <c r="B21" s="9">
        <v>5</v>
      </c>
      <c r="C21" s="9">
        <v>1</v>
      </c>
      <c r="D21" s="9">
        <v>899</v>
      </c>
      <c r="E21" s="10" t="s">
        <v>35</v>
      </c>
      <c r="F21" s="10" t="s">
        <v>19</v>
      </c>
      <c r="G21" s="10" t="s">
        <v>39</v>
      </c>
      <c r="H21" s="8">
        <v>750</v>
      </c>
      <c r="I21" s="8">
        <f t="shared" si="0"/>
        <v>674250</v>
      </c>
      <c r="J21" s="8">
        <f t="shared" si="1"/>
        <v>33712.5</v>
      </c>
      <c r="K21" s="8">
        <f t="shared" si="2"/>
        <v>707962.5</v>
      </c>
      <c r="L21" s="8">
        <v>5000</v>
      </c>
      <c r="M21" s="8">
        <f t="shared" si="3"/>
        <v>35398.125</v>
      </c>
      <c r="N21" s="8">
        <f t="shared" si="4"/>
        <v>672564.375</v>
      </c>
      <c r="O21" s="8">
        <f t="shared" si="5"/>
        <v>22765.416666666668</v>
      </c>
      <c r="P21" s="11">
        <f t="shared" si="6"/>
        <v>15732.5</v>
      </c>
      <c r="Q21" s="8">
        <f t="shared" si="7"/>
        <v>70796.25</v>
      </c>
      <c r="R21" s="11">
        <f t="shared" si="8"/>
        <v>12578.814102564102</v>
      </c>
      <c r="S21" s="8">
        <f t="shared" si="9"/>
        <v>132344.72500000001</v>
      </c>
      <c r="T21" s="11">
        <f t="shared" si="10"/>
        <v>9439.5</v>
      </c>
      <c r="U21" s="11">
        <f t="shared" si="11"/>
        <v>11716.041666666666</v>
      </c>
    </row>
    <row r="22" spans="2:21">
      <c r="B22" s="9">
        <v>5</v>
      </c>
      <c r="C22" s="9">
        <v>2</v>
      </c>
      <c r="D22" s="9">
        <v>366</v>
      </c>
      <c r="E22" s="10" t="s">
        <v>37</v>
      </c>
      <c r="F22" s="10" t="s">
        <v>19</v>
      </c>
      <c r="G22" s="10" t="s">
        <v>40</v>
      </c>
      <c r="H22" s="8">
        <f>[1]Pricing!E18</f>
        <v>850</v>
      </c>
      <c r="I22" s="8">
        <f t="shared" si="0"/>
        <v>311100</v>
      </c>
      <c r="J22" s="8">
        <f t="shared" si="1"/>
        <v>15555</v>
      </c>
      <c r="K22" s="8">
        <f t="shared" si="2"/>
        <v>326655</v>
      </c>
      <c r="L22" s="8">
        <v>5000</v>
      </c>
      <c r="M22" s="8">
        <f t="shared" si="3"/>
        <v>16332.75</v>
      </c>
      <c r="N22" s="8">
        <f t="shared" si="4"/>
        <v>310322.25</v>
      </c>
      <c r="O22" s="8">
        <f t="shared" si="5"/>
        <v>10055.166666666666</v>
      </c>
      <c r="P22" s="11">
        <f t="shared" si="6"/>
        <v>7259</v>
      </c>
      <c r="Q22" s="8">
        <f t="shared" si="7"/>
        <v>32665.5</v>
      </c>
      <c r="R22" s="11">
        <f t="shared" si="8"/>
        <v>5734.833333333333</v>
      </c>
      <c r="S22" s="8">
        <f t="shared" si="9"/>
        <v>58371.07</v>
      </c>
      <c r="T22" s="11">
        <f t="shared" si="10"/>
        <v>4355.3999999999996</v>
      </c>
      <c r="U22" s="11">
        <f t="shared" si="11"/>
        <v>5360.916666666667</v>
      </c>
    </row>
    <row r="23" spans="2:21">
      <c r="B23" s="9">
        <v>5</v>
      </c>
      <c r="C23" s="9">
        <v>3</v>
      </c>
      <c r="D23" s="9">
        <v>289</v>
      </c>
      <c r="E23" s="10" t="s">
        <v>37</v>
      </c>
      <c r="F23" s="10" t="s">
        <v>19</v>
      </c>
      <c r="G23" s="10" t="s">
        <v>39</v>
      </c>
      <c r="H23" s="8">
        <f>[1]Pricing!E17</f>
        <v>950</v>
      </c>
      <c r="I23" s="8">
        <f t="shared" si="0"/>
        <v>274550</v>
      </c>
      <c r="J23" s="8">
        <f t="shared" si="1"/>
        <v>13727.5</v>
      </c>
      <c r="K23" s="8">
        <f t="shared" si="2"/>
        <v>288277.5</v>
      </c>
      <c r="L23" s="8">
        <v>5000</v>
      </c>
      <c r="M23" s="8">
        <f t="shared" si="3"/>
        <v>14413.875</v>
      </c>
      <c r="N23" s="8">
        <f t="shared" si="4"/>
        <v>273863.625</v>
      </c>
      <c r="O23" s="8">
        <f t="shared" si="5"/>
        <v>8775.9166666666661</v>
      </c>
      <c r="P23" s="11">
        <f t="shared" si="6"/>
        <v>6406.166666666667</v>
      </c>
      <c r="Q23" s="8">
        <f t="shared" si="7"/>
        <v>28827.75</v>
      </c>
      <c r="R23" s="11">
        <f t="shared" si="8"/>
        <v>5046.0064102564102</v>
      </c>
      <c r="S23" s="8">
        <f t="shared" si="9"/>
        <v>50925.834999999999</v>
      </c>
      <c r="T23" s="11">
        <f t="shared" si="10"/>
        <v>3843.7</v>
      </c>
      <c r="U23" s="11">
        <f t="shared" si="11"/>
        <v>4721.291666666667</v>
      </c>
    </row>
    <row r="24" spans="2:21">
      <c r="B24" s="9">
        <v>5</v>
      </c>
      <c r="C24" s="9">
        <v>4</v>
      </c>
      <c r="D24" s="9">
        <v>250</v>
      </c>
      <c r="E24" s="10" t="s">
        <v>37</v>
      </c>
      <c r="F24" s="10" t="s">
        <v>19</v>
      </c>
      <c r="G24" s="10" t="s">
        <v>39</v>
      </c>
      <c r="H24" s="8">
        <f>H23</f>
        <v>950</v>
      </c>
      <c r="I24" s="8">
        <f t="shared" si="0"/>
        <v>237500</v>
      </c>
      <c r="J24" s="8">
        <f t="shared" si="1"/>
        <v>11875</v>
      </c>
      <c r="K24" s="8">
        <f t="shared" si="2"/>
        <v>249375</v>
      </c>
      <c r="L24" s="8">
        <v>5000</v>
      </c>
      <c r="M24" s="8">
        <f t="shared" si="3"/>
        <v>12468.75</v>
      </c>
      <c r="N24" s="8">
        <f t="shared" si="4"/>
        <v>236906.25</v>
      </c>
      <c r="O24" s="8">
        <f t="shared" si="5"/>
        <v>7479.166666666667</v>
      </c>
      <c r="P24" s="11">
        <f t="shared" si="6"/>
        <v>5541.666666666667</v>
      </c>
      <c r="Q24" s="8">
        <f t="shared" si="7"/>
        <v>24937.5</v>
      </c>
      <c r="R24" s="11">
        <f t="shared" si="8"/>
        <v>4347.7564102564102</v>
      </c>
      <c r="S24" s="8">
        <f t="shared" si="9"/>
        <v>43378.75</v>
      </c>
      <c r="T24" s="11">
        <f t="shared" si="10"/>
        <v>3325</v>
      </c>
      <c r="U24" s="11">
        <f t="shared" si="11"/>
        <v>4072.9166666666665</v>
      </c>
    </row>
    <row r="25" spans="2:21">
      <c r="B25" s="9">
        <v>5</v>
      </c>
      <c r="C25" s="9">
        <v>5</v>
      </c>
      <c r="D25" s="9">
        <v>224</v>
      </c>
      <c r="E25" s="10" t="s">
        <v>37</v>
      </c>
      <c r="F25" s="10" t="s">
        <v>19</v>
      </c>
      <c r="G25" s="10" t="s">
        <v>39</v>
      </c>
      <c r="H25" s="8">
        <f>H24</f>
        <v>950</v>
      </c>
      <c r="I25" s="8">
        <f t="shared" si="0"/>
        <v>212800</v>
      </c>
      <c r="J25" s="8">
        <f t="shared" si="1"/>
        <v>10640</v>
      </c>
      <c r="K25" s="8">
        <f t="shared" si="2"/>
        <v>223440</v>
      </c>
      <c r="L25" s="8">
        <v>5000</v>
      </c>
      <c r="M25" s="8">
        <f t="shared" si="3"/>
        <v>11172</v>
      </c>
      <c r="N25" s="8">
        <f t="shared" si="4"/>
        <v>212268</v>
      </c>
      <c r="O25" s="8">
        <f t="shared" si="5"/>
        <v>6614.666666666667</v>
      </c>
      <c r="P25" s="11">
        <f t="shared" si="6"/>
        <v>4965.333333333333</v>
      </c>
      <c r="Q25" s="8">
        <f t="shared" si="7"/>
        <v>22344</v>
      </c>
      <c r="R25" s="11">
        <f t="shared" si="8"/>
        <v>3882.2564102564102</v>
      </c>
      <c r="S25" s="8">
        <f t="shared" si="9"/>
        <v>38347.360000000001</v>
      </c>
      <c r="T25" s="11">
        <f t="shared" si="10"/>
        <v>2979.2</v>
      </c>
      <c r="U25" s="11">
        <f t="shared" si="11"/>
        <v>3640.6666666666665</v>
      </c>
    </row>
    <row r="26" spans="2:21">
      <c r="B26" s="9">
        <v>5</v>
      </c>
      <c r="C26" s="9">
        <v>6</v>
      </c>
      <c r="D26" s="9">
        <v>645</v>
      </c>
      <c r="E26" s="10" t="s">
        <v>35</v>
      </c>
      <c r="F26" s="10" t="s">
        <v>19</v>
      </c>
      <c r="G26" s="10" t="s">
        <v>40</v>
      </c>
      <c r="H26" s="8">
        <f>[1]Pricing!E8</f>
        <v>900</v>
      </c>
      <c r="I26" s="8">
        <f t="shared" si="0"/>
        <v>580500</v>
      </c>
      <c r="J26" s="8">
        <f t="shared" si="1"/>
        <v>29025</v>
      </c>
      <c r="K26" s="8">
        <f t="shared" si="2"/>
        <v>609525</v>
      </c>
      <c r="L26" s="8">
        <v>5000</v>
      </c>
      <c r="M26" s="8">
        <f t="shared" si="3"/>
        <v>30476.25</v>
      </c>
      <c r="N26" s="8">
        <f t="shared" si="4"/>
        <v>579048.75</v>
      </c>
      <c r="O26" s="8">
        <f t="shared" si="5"/>
        <v>19484.166666666668</v>
      </c>
      <c r="P26" s="11">
        <f t="shared" si="6"/>
        <v>13545</v>
      </c>
      <c r="Q26" s="8">
        <f t="shared" si="7"/>
        <v>60952.5</v>
      </c>
      <c r="R26" s="11">
        <f t="shared" si="8"/>
        <v>10811.98717948718</v>
      </c>
      <c r="S26" s="8">
        <f t="shared" si="9"/>
        <v>113247.84999999999</v>
      </c>
      <c r="T26" s="11">
        <f t="shared" si="10"/>
        <v>8127</v>
      </c>
      <c r="U26" s="11">
        <f t="shared" si="11"/>
        <v>10075.416666666666</v>
      </c>
    </row>
    <row r="27" spans="2:21">
      <c r="B27" s="9">
        <v>5</v>
      </c>
      <c r="C27" s="9">
        <v>7</v>
      </c>
      <c r="D27" s="9">
        <v>300</v>
      </c>
      <c r="E27" s="10" t="s">
        <v>37</v>
      </c>
      <c r="F27" s="10" t="s">
        <v>19</v>
      </c>
      <c r="G27" s="10" t="s">
        <v>40</v>
      </c>
      <c r="H27" s="8">
        <f>[1]Pricing!E18</f>
        <v>850</v>
      </c>
      <c r="I27" s="8">
        <f t="shared" si="0"/>
        <v>255000</v>
      </c>
      <c r="J27" s="8">
        <f t="shared" si="1"/>
        <v>12750</v>
      </c>
      <c r="K27" s="8">
        <f t="shared" si="2"/>
        <v>267750</v>
      </c>
      <c r="L27" s="8">
        <v>5000</v>
      </c>
      <c r="M27" s="8">
        <f t="shared" si="3"/>
        <v>13387.5</v>
      </c>
      <c r="N27" s="8">
        <f t="shared" si="4"/>
        <v>254362.5</v>
      </c>
      <c r="O27" s="8">
        <f t="shared" si="5"/>
        <v>8091.666666666667</v>
      </c>
      <c r="P27" s="11">
        <f t="shared" si="6"/>
        <v>5950</v>
      </c>
      <c r="Q27" s="8">
        <f t="shared" si="7"/>
        <v>26775</v>
      </c>
      <c r="R27" s="11">
        <f t="shared" si="8"/>
        <v>4677.5641025641025</v>
      </c>
      <c r="S27" s="8">
        <f t="shared" si="9"/>
        <v>46943.5</v>
      </c>
      <c r="T27" s="11">
        <f t="shared" si="10"/>
        <v>3570</v>
      </c>
      <c r="U27" s="11">
        <f t="shared" si="11"/>
        <v>4379.166666666667</v>
      </c>
    </row>
    <row r="28" spans="2:21">
      <c r="B28" s="9">
        <v>5</v>
      </c>
      <c r="C28" s="9">
        <v>8</v>
      </c>
      <c r="D28" s="9">
        <v>300</v>
      </c>
      <c r="E28" s="10" t="s">
        <v>37</v>
      </c>
      <c r="F28" s="10" t="s">
        <v>19</v>
      </c>
      <c r="G28" s="10" t="s">
        <v>40</v>
      </c>
      <c r="H28" s="8">
        <f>H27</f>
        <v>850</v>
      </c>
      <c r="I28" s="8">
        <f t="shared" si="0"/>
        <v>255000</v>
      </c>
      <c r="J28" s="8">
        <f t="shared" si="1"/>
        <v>12750</v>
      </c>
      <c r="K28" s="8">
        <f t="shared" si="2"/>
        <v>267750</v>
      </c>
      <c r="L28" s="8">
        <v>5000</v>
      </c>
      <c r="M28" s="8">
        <f t="shared" si="3"/>
        <v>13387.5</v>
      </c>
      <c r="N28" s="8">
        <f t="shared" si="4"/>
        <v>254362.5</v>
      </c>
      <c r="O28" s="8">
        <f t="shared" si="5"/>
        <v>8091.666666666667</v>
      </c>
      <c r="P28" s="11">
        <f t="shared" si="6"/>
        <v>5950</v>
      </c>
      <c r="Q28" s="8">
        <f t="shared" si="7"/>
        <v>26775</v>
      </c>
      <c r="R28" s="11">
        <f t="shared" si="8"/>
        <v>4677.5641025641025</v>
      </c>
      <c r="S28" s="8">
        <f t="shared" si="9"/>
        <v>46943.5</v>
      </c>
      <c r="T28" s="11">
        <f t="shared" si="10"/>
        <v>3570</v>
      </c>
      <c r="U28" s="11">
        <f t="shared" si="11"/>
        <v>4379.166666666667</v>
      </c>
    </row>
    <row r="29" spans="2:21">
      <c r="B29" s="9">
        <v>5</v>
      </c>
      <c r="C29" s="9">
        <v>9</v>
      </c>
      <c r="D29" s="9">
        <v>353</v>
      </c>
      <c r="E29" s="10" t="s">
        <v>37</v>
      </c>
      <c r="F29" s="10" t="s">
        <v>19</v>
      </c>
      <c r="G29" s="10" t="s">
        <v>40</v>
      </c>
      <c r="H29" s="8">
        <f>H28</f>
        <v>850</v>
      </c>
      <c r="I29" s="8">
        <f t="shared" si="0"/>
        <v>300050</v>
      </c>
      <c r="J29" s="8">
        <f t="shared" si="1"/>
        <v>15002.5</v>
      </c>
      <c r="K29" s="8">
        <f t="shared" si="2"/>
        <v>315052.5</v>
      </c>
      <c r="L29" s="8">
        <v>5000</v>
      </c>
      <c r="M29" s="8">
        <f t="shared" si="3"/>
        <v>15752.625</v>
      </c>
      <c r="N29" s="8">
        <f t="shared" si="4"/>
        <v>299299.875</v>
      </c>
      <c r="O29" s="8">
        <f t="shared" si="5"/>
        <v>9668.4166666666661</v>
      </c>
      <c r="P29" s="11">
        <f t="shared" si="6"/>
        <v>7001.166666666667</v>
      </c>
      <c r="Q29" s="8">
        <f t="shared" si="7"/>
        <v>31505.25</v>
      </c>
      <c r="R29" s="11">
        <f t="shared" si="8"/>
        <v>5526.583333333333</v>
      </c>
      <c r="S29" s="8">
        <f t="shared" si="9"/>
        <v>56120.184999999998</v>
      </c>
      <c r="T29" s="11">
        <f t="shared" si="10"/>
        <v>4200.7</v>
      </c>
      <c r="U29" s="11">
        <f t="shared" si="11"/>
        <v>5167.541666666667</v>
      </c>
    </row>
    <row r="30" spans="2:21">
      <c r="B30" s="9">
        <v>5</v>
      </c>
      <c r="C30" s="9">
        <v>10</v>
      </c>
      <c r="D30" s="9">
        <v>4443</v>
      </c>
      <c r="E30" s="10" t="s">
        <v>37</v>
      </c>
      <c r="F30" s="10" t="s">
        <v>19</v>
      </c>
      <c r="G30" s="10" t="s">
        <v>42</v>
      </c>
      <c r="H30" s="8">
        <v>400</v>
      </c>
      <c r="I30" s="8">
        <f t="shared" si="0"/>
        <v>1777200</v>
      </c>
      <c r="J30" s="8">
        <f t="shared" si="1"/>
        <v>88860</v>
      </c>
      <c r="K30" s="8">
        <f t="shared" si="2"/>
        <v>1866060</v>
      </c>
      <c r="L30" s="8">
        <v>5000</v>
      </c>
      <c r="M30" s="8">
        <f t="shared" si="3"/>
        <v>93303</v>
      </c>
      <c r="N30" s="8">
        <f t="shared" si="4"/>
        <v>1772757</v>
      </c>
      <c r="O30" s="8">
        <f t="shared" si="5"/>
        <v>61368.666666666664</v>
      </c>
      <c r="P30" s="11">
        <f t="shared" si="6"/>
        <v>41468</v>
      </c>
      <c r="Q30" s="8">
        <f t="shared" si="7"/>
        <v>186606</v>
      </c>
      <c r="R30" s="11">
        <f t="shared" si="8"/>
        <v>33365.179487179485</v>
      </c>
      <c r="S30" s="8">
        <f t="shared" si="9"/>
        <v>357015.64</v>
      </c>
      <c r="T30" s="11">
        <f t="shared" si="10"/>
        <v>24880.799999999999</v>
      </c>
      <c r="U30" s="11">
        <f t="shared" si="11"/>
        <v>31017.666666666668</v>
      </c>
    </row>
    <row r="31" spans="2:21">
      <c r="B31" s="9">
        <v>6</v>
      </c>
      <c r="C31" s="9">
        <v>1</v>
      </c>
      <c r="D31" s="9">
        <v>273</v>
      </c>
      <c r="E31" s="10" t="s">
        <v>35</v>
      </c>
      <c r="F31" s="10" t="s">
        <v>19</v>
      </c>
      <c r="G31" s="10" t="s">
        <v>39</v>
      </c>
      <c r="H31" s="8">
        <f>[1]Pricing!E7</f>
        <v>1000</v>
      </c>
      <c r="I31" s="8">
        <f t="shared" si="0"/>
        <v>273000</v>
      </c>
      <c r="J31" s="8">
        <f t="shared" si="1"/>
        <v>13650</v>
      </c>
      <c r="K31" s="8">
        <f t="shared" si="2"/>
        <v>286650</v>
      </c>
      <c r="L31" s="8">
        <v>5000</v>
      </c>
      <c r="M31" s="8">
        <f t="shared" si="3"/>
        <v>14332.5</v>
      </c>
      <c r="N31" s="8">
        <f t="shared" si="4"/>
        <v>272317.5</v>
      </c>
      <c r="O31" s="8">
        <f t="shared" si="5"/>
        <v>8721.6666666666661</v>
      </c>
      <c r="P31" s="11">
        <f t="shared" si="6"/>
        <v>6370</v>
      </c>
      <c r="Q31" s="8">
        <f t="shared" si="7"/>
        <v>28665</v>
      </c>
      <c r="R31" s="11">
        <f t="shared" si="8"/>
        <v>5016.7948717948721</v>
      </c>
      <c r="S31" s="8">
        <f t="shared" si="9"/>
        <v>50610.1</v>
      </c>
      <c r="T31" s="11">
        <f t="shared" si="10"/>
        <v>3822</v>
      </c>
      <c r="U31" s="11">
        <f t="shared" si="11"/>
        <v>4694.166666666667</v>
      </c>
    </row>
    <row r="32" spans="2:21">
      <c r="B32" s="9">
        <v>6</v>
      </c>
      <c r="C32" s="9">
        <v>2</v>
      </c>
      <c r="D32" s="9">
        <v>223</v>
      </c>
      <c r="E32" s="10" t="s">
        <v>35</v>
      </c>
      <c r="F32" s="10" t="s">
        <v>19</v>
      </c>
      <c r="G32" s="10" t="s">
        <v>36</v>
      </c>
      <c r="H32" s="8">
        <f>[1]Pricing!E6</f>
        <v>1100</v>
      </c>
      <c r="I32" s="8">
        <f t="shared" si="0"/>
        <v>245300</v>
      </c>
      <c r="J32" s="8">
        <f t="shared" si="1"/>
        <v>12265</v>
      </c>
      <c r="K32" s="8">
        <f t="shared" si="2"/>
        <v>257565</v>
      </c>
      <c r="L32" s="8">
        <v>5000</v>
      </c>
      <c r="M32" s="8">
        <f t="shared" si="3"/>
        <v>12878.25</v>
      </c>
      <c r="N32" s="8">
        <f t="shared" si="4"/>
        <v>244686.75</v>
      </c>
      <c r="O32" s="8">
        <f t="shared" si="5"/>
        <v>7752.166666666667</v>
      </c>
      <c r="P32" s="11">
        <f t="shared" si="6"/>
        <v>5723.666666666667</v>
      </c>
      <c r="Q32" s="8">
        <f t="shared" si="7"/>
        <v>25756.5</v>
      </c>
      <c r="R32" s="11">
        <f t="shared" si="8"/>
        <v>4494.7564102564102</v>
      </c>
      <c r="S32" s="8">
        <f t="shared" si="9"/>
        <v>44967.61</v>
      </c>
      <c r="T32" s="11">
        <f t="shared" si="10"/>
        <v>3434.2</v>
      </c>
      <c r="U32" s="11">
        <f t="shared" si="11"/>
        <v>4209.416666666667</v>
      </c>
    </row>
    <row r="33" spans="2:21">
      <c r="B33" s="9">
        <v>6</v>
      </c>
      <c r="C33" s="9">
        <v>3</v>
      </c>
      <c r="D33" s="9">
        <v>225</v>
      </c>
      <c r="E33" s="10" t="s">
        <v>37</v>
      </c>
      <c r="F33" s="10" t="s">
        <v>19</v>
      </c>
      <c r="G33" s="10" t="s">
        <v>39</v>
      </c>
      <c r="H33" s="8">
        <f>[1]Pricing!E17</f>
        <v>950</v>
      </c>
      <c r="I33" s="8">
        <f t="shared" si="0"/>
        <v>213750</v>
      </c>
      <c r="J33" s="8">
        <f t="shared" si="1"/>
        <v>10687.5</v>
      </c>
      <c r="K33" s="8">
        <f t="shared" si="2"/>
        <v>224437.5</v>
      </c>
      <c r="L33" s="8">
        <v>5000</v>
      </c>
      <c r="M33" s="8">
        <f t="shared" si="3"/>
        <v>11221.875</v>
      </c>
      <c r="N33" s="8">
        <f t="shared" si="4"/>
        <v>213215.625</v>
      </c>
      <c r="O33" s="8">
        <f t="shared" si="5"/>
        <v>6647.916666666667</v>
      </c>
      <c r="P33" s="11">
        <f t="shared" si="6"/>
        <v>4987.5</v>
      </c>
      <c r="Q33" s="8">
        <f t="shared" si="7"/>
        <v>22443.75</v>
      </c>
      <c r="R33" s="11">
        <f t="shared" si="8"/>
        <v>3900.1602564102564</v>
      </c>
      <c r="S33" s="8">
        <f t="shared" si="9"/>
        <v>38540.875</v>
      </c>
      <c r="T33" s="11">
        <f t="shared" si="10"/>
        <v>2992.5</v>
      </c>
      <c r="U33" s="11">
        <f t="shared" si="11"/>
        <v>3657.2916666666665</v>
      </c>
    </row>
    <row r="34" spans="2:21">
      <c r="B34" s="9">
        <v>6</v>
      </c>
      <c r="C34" s="9">
        <v>4</v>
      </c>
      <c r="D34" s="9">
        <v>225</v>
      </c>
      <c r="E34" s="10" t="s">
        <v>37</v>
      </c>
      <c r="F34" s="10" t="s">
        <v>19</v>
      </c>
      <c r="G34" s="10" t="s">
        <v>38</v>
      </c>
      <c r="H34" s="8">
        <f>[1]Pricing!E15</f>
        <v>1150</v>
      </c>
      <c r="I34" s="8">
        <f t="shared" si="0"/>
        <v>258750</v>
      </c>
      <c r="J34" s="8">
        <f t="shared" si="1"/>
        <v>12937.5</v>
      </c>
      <c r="K34" s="8">
        <f t="shared" si="2"/>
        <v>271687.5</v>
      </c>
      <c r="L34" s="8">
        <v>5000</v>
      </c>
      <c r="M34" s="8">
        <f t="shared" si="3"/>
        <v>13584.375</v>
      </c>
      <c r="N34" s="8">
        <f t="shared" si="4"/>
        <v>258103.125</v>
      </c>
      <c r="O34" s="8">
        <f t="shared" si="5"/>
        <v>8222.9166666666661</v>
      </c>
      <c r="P34" s="11">
        <f t="shared" si="6"/>
        <v>6037.5</v>
      </c>
      <c r="Q34" s="8">
        <f t="shared" si="7"/>
        <v>27168.75</v>
      </c>
      <c r="R34" s="11">
        <f t="shared" si="8"/>
        <v>4748.2371794871797</v>
      </c>
      <c r="S34" s="8">
        <f t="shared" si="9"/>
        <v>47707.375</v>
      </c>
      <c r="T34" s="11">
        <f t="shared" si="10"/>
        <v>3622.5</v>
      </c>
      <c r="U34" s="11">
        <f t="shared" si="11"/>
        <v>4444.791666666667</v>
      </c>
    </row>
    <row r="35" spans="2:21">
      <c r="B35" s="9">
        <v>6</v>
      </c>
      <c r="C35" s="9">
        <v>5</v>
      </c>
      <c r="D35" s="9">
        <v>339</v>
      </c>
      <c r="E35" s="10" t="s">
        <v>37</v>
      </c>
      <c r="F35" s="10" t="s">
        <v>19</v>
      </c>
      <c r="G35" s="10" t="s">
        <v>39</v>
      </c>
      <c r="H35" s="8">
        <f>[1]Pricing!E17</f>
        <v>950</v>
      </c>
      <c r="I35" s="8">
        <f t="shared" si="0"/>
        <v>322050</v>
      </c>
      <c r="J35" s="8">
        <f t="shared" si="1"/>
        <v>16102.5</v>
      </c>
      <c r="K35" s="8">
        <f t="shared" si="2"/>
        <v>338152.5</v>
      </c>
      <c r="L35" s="8">
        <v>5000</v>
      </c>
      <c r="M35" s="8">
        <f t="shared" si="3"/>
        <v>16907.625</v>
      </c>
      <c r="N35" s="8">
        <f t="shared" si="4"/>
        <v>321244.875</v>
      </c>
      <c r="O35" s="8">
        <f t="shared" si="5"/>
        <v>10438.416666666666</v>
      </c>
      <c r="P35" s="11">
        <f t="shared" si="6"/>
        <v>7514.5</v>
      </c>
      <c r="Q35" s="8">
        <f t="shared" si="7"/>
        <v>33815.25</v>
      </c>
      <c r="R35" s="11">
        <f t="shared" si="8"/>
        <v>5941.1987179487169</v>
      </c>
      <c r="S35" s="8">
        <f t="shared" si="9"/>
        <v>60601.584999999992</v>
      </c>
      <c r="T35" s="11">
        <f t="shared" si="10"/>
        <v>4508.7</v>
      </c>
      <c r="U35" s="11">
        <f t="shared" si="11"/>
        <v>5552.541666666667</v>
      </c>
    </row>
    <row r="36" spans="2:21">
      <c r="B36" s="9">
        <v>6</v>
      </c>
      <c r="C36" s="9">
        <v>6</v>
      </c>
      <c r="D36" s="9">
        <v>246</v>
      </c>
      <c r="E36" s="10" t="s">
        <v>37</v>
      </c>
      <c r="F36" s="10" t="s">
        <v>19</v>
      </c>
      <c r="G36" s="10" t="s">
        <v>36</v>
      </c>
      <c r="H36" s="8">
        <f>[1]Pricing!E16</f>
        <v>1050</v>
      </c>
      <c r="I36" s="8">
        <f t="shared" si="0"/>
        <v>258300</v>
      </c>
      <c r="J36" s="8">
        <f t="shared" si="1"/>
        <v>12915</v>
      </c>
      <c r="K36" s="8">
        <f t="shared" si="2"/>
        <v>271215</v>
      </c>
      <c r="L36" s="8">
        <v>5000</v>
      </c>
      <c r="M36" s="8">
        <f t="shared" si="3"/>
        <v>13560.75</v>
      </c>
      <c r="N36" s="8">
        <f t="shared" si="4"/>
        <v>257654.25</v>
      </c>
      <c r="O36" s="8">
        <f t="shared" si="5"/>
        <v>8207.1666666666661</v>
      </c>
      <c r="P36" s="11">
        <f t="shared" si="6"/>
        <v>6027</v>
      </c>
      <c r="Q36" s="8">
        <f t="shared" si="7"/>
        <v>27121.5</v>
      </c>
      <c r="R36" s="11">
        <f t="shared" si="8"/>
        <v>4739.7564102564102</v>
      </c>
      <c r="S36" s="8">
        <f t="shared" si="9"/>
        <v>47615.71</v>
      </c>
      <c r="T36" s="11">
        <f t="shared" si="10"/>
        <v>3616.2</v>
      </c>
      <c r="U36" s="11">
        <f t="shared" si="11"/>
        <v>4436.916666666667</v>
      </c>
    </row>
    <row r="37" spans="2:21">
      <c r="B37" s="9">
        <v>6</v>
      </c>
      <c r="C37" s="9">
        <v>7</v>
      </c>
      <c r="D37" s="9">
        <v>311</v>
      </c>
      <c r="E37" s="10" t="s">
        <v>37</v>
      </c>
      <c r="F37" s="10" t="s">
        <v>19</v>
      </c>
      <c r="G37" s="10" t="s">
        <v>36</v>
      </c>
      <c r="H37" s="8">
        <f>H36</f>
        <v>1050</v>
      </c>
      <c r="I37" s="8">
        <f t="shared" si="0"/>
        <v>326550</v>
      </c>
      <c r="J37" s="8">
        <f t="shared" si="1"/>
        <v>16327.5</v>
      </c>
      <c r="K37" s="8">
        <f t="shared" si="2"/>
        <v>342877.5</v>
      </c>
      <c r="L37" s="8">
        <v>5000</v>
      </c>
      <c r="M37" s="8">
        <f t="shared" si="3"/>
        <v>17143.875</v>
      </c>
      <c r="N37" s="8">
        <f t="shared" si="4"/>
        <v>325733.625</v>
      </c>
      <c r="O37" s="8">
        <f t="shared" si="5"/>
        <v>10595.916666666666</v>
      </c>
      <c r="P37" s="11">
        <f t="shared" si="6"/>
        <v>7619.5</v>
      </c>
      <c r="Q37" s="8">
        <f t="shared" si="7"/>
        <v>34287.75</v>
      </c>
      <c r="R37" s="11">
        <f t="shared" si="8"/>
        <v>6026.0064102564093</v>
      </c>
      <c r="S37" s="8">
        <f t="shared" si="9"/>
        <v>61518.235000000001</v>
      </c>
      <c r="T37" s="11">
        <f t="shared" si="10"/>
        <v>4571.7</v>
      </c>
      <c r="U37" s="11">
        <f t="shared" si="11"/>
        <v>5631.291666666667</v>
      </c>
    </row>
    <row r="38" spans="2:21">
      <c r="B38" s="9">
        <v>6</v>
      </c>
      <c r="C38" s="9">
        <v>8</v>
      </c>
      <c r="D38" s="9">
        <v>311</v>
      </c>
      <c r="E38" s="10" t="s">
        <v>37</v>
      </c>
      <c r="F38" s="10" t="s">
        <v>19</v>
      </c>
      <c r="G38" s="10" t="s">
        <v>40</v>
      </c>
      <c r="H38" s="8">
        <f>[1]Pricing!E13</f>
        <v>850</v>
      </c>
      <c r="I38" s="8">
        <f t="shared" si="0"/>
        <v>264350</v>
      </c>
      <c r="J38" s="8">
        <f t="shared" si="1"/>
        <v>13217.5</v>
      </c>
      <c r="K38" s="8">
        <f t="shared" si="2"/>
        <v>277567.5</v>
      </c>
      <c r="L38" s="8">
        <v>5000</v>
      </c>
      <c r="M38" s="8">
        <f t="shared" si="3"/>
        <v>13878.375</v>
      </c>
      <c r="N38" s="8">
        <f t="shared" si="4"/>
        <v>263689.125</v>
      </c>
      <c r="O38" s="8">
        <f t="shared" si="5"/>
        <v>8418.9166666666661</v>
      </c>
      <c r="P38" s="11">
        <f t="shared" si="6"/>
        <v>6168.166666666667</v>
      </c>
      <c r="Q38" s="8">
        <f t="shared" si="7"/>
        <v>27756.75</v>
      </c>
      <c r="R38" s="11">
        <f t="shared" si="8"/>
        <v>4853.7756410256407</v>
      </c>
      <c r="S38" s="8">
        <f t="shared" si="9"/>
        <v>48848.095000000001</v>
      </c>
      <c r="T38" s="11">
        <f t="shared" si="10"/>
        <v>3700.9</v>
      </c>
      <c r="U38" s="11">
        <f t="shared" si="11"/>
        <v>4542.791666666667</v>
      </c>
    </row>
    <row r="39" spans="2:21">
      <c r="B39" s="9">
        <v>6</v>
      </c>
      <c r="C39" s="9">
        <v>9</v>
      </c>
      <c r="D39" s="9">
        <v>300</v>
      </c>
      <c r="E39" s="10" t="s">
        <v>37</v>
      </c>
      <c r="F39" s="10" t="s">
        <v>19</v>
      </c>
      <c r="G39" s="10" t="s">
        <v>36</v>
      </c>
      <c r="H39" s="8">
        <f>[1]Pricing!E16</f>
        <v>1050</v>
      </c>
      <c r="I39" s="8">
        <f t="shared" si="0"/>
        <v>315000</v>
      </c>
      <c r="J39" s="8">
        <f t="shared" si="1"/>
        <v>15750</v>
      </c>
      <c r="K39" s="8">
        <f t="shared" si="2"/>
        <v>330750</v>
      </c>
      <c r="L39" s="8">
        <v>5000</v>
      </c>
      <c r="M39" s="8">
        <f t="shared" si="3"/>
        <v>16537.5</v>
      </c>
      <c r="N39" s="8">
        <f t="shared" si="4"/>
        <v>314212.5</v>
      </c>
      <c r="O39" s="8">
        <f t="shared" si="5"/>
        <v>10191.666666666666</v>
      </c>
      <c r="P39" s="11">
        <f t="shared" si="6"/>
        <v>7350</v>
      </c>
      <c r="Q39" s="8">
        <f t="shared" si="7"/>
        <v>33075</v>
      </c>
      <c r="R39" s="11">
        <f t="shared" si="8"/>
        <v>5808.333333333333</v>
      </c>
      <c r="S39" s="8">
        <f t="shared" si="9"/>
        <v>59165.5</v>
      </c>
      <c r="T39" s="11">
        <f t="shared" si="10"/>
        <v>4410</v>
      </c>
      <c r="U39" s="11">
        <f t="shared" si="11"/>
        <v>5429.166666666667</v>
      </c>
    </row>
    <row r="40" spans="2:21">
      <c r="B40" s="9">
        <v>6</v>
      </c>
      <c r="C40" s="9">
        <v>10</v>
      </c>
      <c r="D40" s="9">
        <v>250</v>
      </c>
      <c r="E40" s="10" t="s">
        <v>37</v>
      </c>
      <c r="F40" s="10" t="s">
        <v>19</v>
      </c>
      <c r="G40" s="10" t="s">
        <v>36</v>
      </c>
      <c r="H40" s="8">
        <f>H39</f>
        <v>1050</v>
      </c>
      <c r="I40" s="8">
        <f t="shared" si="0"/>
        <v>262500</v>
      </c>
      <c r="J40" s="8">
        <f t="shared" si="1"/>
        <v>13125</v>
      </c>
      <c r="K40" s="8">
        <f t="shared" si="2"/>
        <v>275625</v>
      </c>
      <c r="L40" s="8">
        <v>5000</v>
      </c>
      <c r="M40" s="8">
        <f t="shared" si="3"/>
        <v>13781.25</v>
      </c>
      <c r="N40" s="8">
        <f t="shared" si="4"/>
        <v>261843.75</v>
      </c>
      <c r="O40" s="8">
        <f t="shared" si="5"/>
        <v>8354.1666666666661</v>
      </c>
      <c r="P40" s="11">
        <f t="shared" si="6"/>
        <v>6125</v>
      </c>
      <c r="Q40" s="8">
        <f t="shared" si="7"/>
        <v>27562.5</v>
      </c>
      <c r="R40" s="11">
        <f t="shared" si="8"/>
        <v>4818.9102564102568</v>
      </c>
      <c r="S40" s="8">
        <f t="shared" si="9"/>
        <v>48471.25</v>
      </c>
      <c r="T40" s="11">
        <f t="shared" si="10"/>
        <v>3675</v>
      </c>
      <c r="U40" s="11">
        <f t="shared" si="11"/>
        <v>4510.416666666667</v>
      </c>
    </row>
    <row r="41" spans="2:21">
      <c r="B41" s="9">
        <v>6</v>
      </c>
      <c r="C41" s="9">
        <v>11</v>
      </c>
      <c r="D41" s="9">
        <v>313</v>
      </c>
      <c r="E41" s="10" t="s">
        <v>37</v>
      </c>
      <c r="F41" s="10" t="s">
        <v>19</v>
      </c>
      <c r="G41" s="10" t="s">
        <v>38</v>
      </c>
      <c r="H41" s="8">
        <f>[1]Pricing!E10</f>
        <v>1150</v>
      </c>
      <c r="I41" s="8">
        <f t="shared" si="0"/>
        <v>359950</v>
      </c>
      <c r="J41" s="8">
        <f t="shared" si="1"/>
        <v>17997.5</v>
      </c>
      <c r="K41" s="8">
        <f t="shared" si="2"/>
        <v>377947.5</v>
      </c>
      <c r="L41" s="8">
        <v>5000</v>
      </c>
      <c r="M41" s="8">
        <f t="shared" si="3"/>
        <v>18897.375</v>
      </c>
      <c r="N41" s="8">
        <f t="shared" si="4"/>
        <v>359050.125</v>
      </c>
      <c r="O41" s="8">
        <f t="shared" si="5"/>
        <v>11764.916666666666</v>
      </c>
      <c r="P41" s="11">
        <f t="shared" si="6"/>
        <v>8398.8333333333339</v>
      </c>
      <c r="Q41" s="8">
        <f t="shared" si="7"/>
        <v>37794.75</v>
      </c>
      <c r="R41" s="11">
        <f t="shared" si="8"/>
        <v>6655.4679487179483</v>
      </c>
      <c r="S41" s="8">
        <f t="shared" si="9"/>
        <v>68321.815000000002</v>
      </c>
      <c r="T41" s="11">
        <f t="shared" si="10"/>
        <v>5039.3</v>
      </c>
      <c r="U41" s="11">
        <f t="shared" si="11"/>
        <v>6215.791666666667</v>
      </c>
    </row>
    <row r="42" spans="2:21">
      <c r="B42" s="9">
        <v>6</v>
      </c>
      <c r="C42" s="9">
        <v>12</v>
      </c>
      <c r="D42" s="9">
        <v>313</v>
      </c>
      <c r="E42" s="10" t="s">
        <v>37</v>
      </c>
      <c r="F42" s="10" t="s">
        <v>19</v>
      </c>
      <c r="G42" s="10" t="s">
        <v>39</v>
      </c>
      <c r="H42" s="8">
        <f>[1]Pricing!E17</f>
        <v>950</v>
      </c>
      <c r="I42" s="8">
        <f t="shared" si="0"/>
        <v>297350</v>
      </c>
      <c r="J42" s="8">
        <f t="shared" si="1"/>
        <v>14867.5</v>
      </c>
      <c r="K42" s="8">
        <f t="shared" si="2"/>
        <v>312217.5</v>
      </c>
      <c r="L42" s="8">
        <v>5000</v>
      </c>
      <c r="M42" s="8">
        <f t="shared" si="3"/>
        <v>15610.875</v>
      </c>
      <c r="N42" s="8">
        <f t="shared" si="4"/>
        <v>296606.625</v>
      </c>
      <c r="O42" s="8">
        <f t="shared" si="5"/>
        <v>9573.9166666666661</v>
      </c>
      <c r="P42" s="11">
        <f t="shared" si="6"/>
        <v>6938.166666666667</v>
      </c>
      <c r="Q42" s="8">
        <f t="shared" si="7"/>
        <v>31221.75</v>
      </c>
      <c r="R42" s="11">
        <f t="shared" si="8"/>
        <v>5475.6987179487178</v>
      </c>
      <c r="S42" s="8">
        <f t="shared" si="9"/>
        <v>55570.195</v>
      </c>
      <c r="T42" s="11">
        <f t="shared" si="10"/>
        <v>4162.8999999999996</v>
      </c>
      <c r="U42" s="11">
        <f t="shared" si="11"/>
        <v>5120.291666666667</v>
      </c>
    </row>
    <row r="43" spans="2:21">
      <c r="B43" s="9">
        <v>6</v>
      </c>
      <c r="C43" s="9">
        <v>13</v>
      </c>
      <c r="D43" s="9">
        <v>263</v>
      </c>
      <c r="E43" s="10" t="s">
        <v>35</v>
      </c>
      <c r="F43" s="10" t="s">
        <v>19</v>
      </c>
      <c r="G43" s="10" t="s">
        <v>36</v>
      </c>
      <c r="H43" s="8">
        <f>[1]Pricing!E6</f>
        <v>1100</v>
      </c>
      <c r="I43" s="8">
        <f t="shared" si="0"/>
        <v>289300</v>
      </c>
      <c r="J43" s="8">
        <f t="shared" si="1"/>
        <v>14465</v>
      </c>
      <c r="K43" s="8">
        <f t="shared" si="2"/>
        <v>303765</v>
      </c>
      <c r="L43" s="8">
        <v>5000</v>
      </c>
      <c r="M43" s="8">
        <f t="shared" si="3"/>
        <v>15188.25</v>
      </c>
      <c r="N43" s="8">
        <f t="shared" si="4"/>
        <v>288576.75</v>
      </c>
      <c r="O43" s="8">
        <f t="shared" si="5"/>
        <v>9292.1666666666661</v>
      </c>
      <c r="P43" s="11">
        <f t="shared" si="6"/>
        <v>6750.333333333333</v>
      </c>
      <c r="Q43" s="8">
        <f t="shared" si="7"/>
        <v>30376.5</v>
      </c>
      <c r="R43" s="11">
        <f t="shared" si="8"/>
        <v>5323.9871794871797</v>
      </c>
      <c r="S43" s="8">
        <f t="shared" si="9"/>
        <v>53930.409999999996</v>
      </c>
      <c r="T43" s="11">
        <f t="shared" si="10"/>
        <v>4050.2</v>
      </c>
      <c r="U43" s="11">
        <f t="shared" si="11"/>
        <v>4979.416666666667</v>
      </c>
    </row>
    <row r="44" spans="2:21">
      <c r="B44" s="9">
        <v>6</v>
      </c>
      <c r="C44" s="9">
        <v>14</v>
      </c>
      <c r="D44" s="9">
        <v>266</v>
      </c>
      <c r="E44" s="10" t="s">
        <v>35</v>
      </c>
      <c r="F44" s="10" t="s">
        <v>19</v>
      </c>
      <c r="G44" s="10" t="s">
        <v>36</v>
      </c>
      <c r="H44" s="8">
        <f>[1]Pricing!E6</f>
        <v>1100</v>
      </c>
      <c r="I44" s="8">
        <f t="shared" si="0"/>
        <v>292600</v>
      </c>
      <c r="J44" s="8">
        <f t="shared" si="1"/>
        <v>14630</v>
      </c>
      <c r="K44" s="8">
        <f t="shared" si="2"/>
        <v>307230</v>
      </c>
      <c r="L44" s="8">
        <v>5000</v>
      </c>
      <c r="M44" s="8">
        <f t="shared" si="3"/>
        <v>15361.5</v>
      </c>
      <c r="N44" s="8">
        <f t="shared" si="4"/>
        <v>291868.5</v>
      </c>
      <c r="O44" s="8">
        <f t="shared" si="5"/>
        <v>9407.6666666666661</v>
      </c>
      <c r="P44" s="11">
        <f t="shared" si="6"/>
        <v>6827.333333333333</v>
      </c>
      <c r="Q44" s="8">
        <f t="shared" si="7"/>
        <v>30723</v>
      </c>
      <c r="R44" s="11">
        <f t="shared" si="8"/>
        <v>5386.1794871794873</v>
      </c>
      <c r="S44" s="8">
        <f t="shared" si="9"/>
        <v>54602.619999999995</v>
      </c>
      <c r="T44" s="11">
        <f t="shared" si="10"/>
        <v>4096.3999999999996</v>
      </c>
      <c r="U44" s="11">
        <f t="shared" si="11"/>
        <v>5037.166666666667</v>
      </c>
    </row>
    <row r="45" spans="2:21">
      <c r="B45" s="9">
        <v>7</v>
      </c>
      <c r="C45" s="9">
        <v>1</v>
      </c>
      <c r="D45" s="9">
        <v>330</v>
      </c>
      <c r="E45" s="10" t="s">
        <v>35</v>
      </c>
      <c r="F45" s="10" t="s">
        <v>19</v>
      </c>
      <c r="G45" s="10" t="s">
        <v>36</v>
      </c>
      <c r="H45" s="8">
        <f>H44</f>
        <v>1100</v>
      </c>
      <c r="I45" s="8">
        <f t="shared" si="0"/>
        <v>363000</v>
      </c>
      <c r="J45" s="8">
        <f t="shared" si="1"/>
        <v>18150</v>
      </c>
      <c r="K45" s="8">
        <f t="shared" si="2"/>
        <v>381150</v>
      </c>
      <c r="L45" s="8">
        <v>5000</v>
      </c>
      <c r="M45" s="8">
        <f t="shared" si="3"/>
        <v>19057.5</v>
      </c>
      <c r="N45" s="8">
        <f t="shared" si="4"/>
        <v>362092.5</v>
      </c>
      <c r="O45" s="8">
        <f t="shared" si="5"/>
        <v>11871.666666666666</v>
      </c>
      <c r="P45" s="11">
        <f t="shared" si="6"/>
        <v>8470</v>
      </c>
      <c r="Q45" s="8">
        <f t="shared" si="7"/>
        <v>38115</v>
      </c>
      <c r="R45" s="11">
        <f t="shared" si="8"/>
        <v>6712.9487179487178</v>
      </c>
      <c r="S45" s="8">
        <f t="shared" si="9"/>
        <v>68943.099999999991</v>
      </c>
      <c r="T45" s="11">
        <f t="shared" si="10"/>
        <v>5082</v>
      </c>
      <c r="U45" s="11">
        <f t="shared" si="11"/>
        <v>6269.166666666667</v>
      </c>
    </row>
    <row r="46" spans="2:21">
      <c r="B46" s="9">
        <v>7</v>
      </c>
      <c r="C46" s="9">
        <v>2</v>
      </c>
      <c r="D46" s="9">
        <v>249</v>
      </c>
      <c r="E46" s="10" t="s">
        <v>35</v>
      </c>
      <c r="F46" s="10" t="s">
        <v>19</v>
      </c>
      <c r="G46" s="10" t="s">
        <v>36</v>
      </c>
      <c r="H46" s="8">
        <f>H45</f>
        <v>1100</v>
      </c>
      <c r="I46" s="8">
        <f t="shared" si="0"/>
        <v>273900</v>
      </c>
      <c r="J46" s="8">
        <f t="shared" si="1"/>
        <v>13695</v>
      </c>
      <c r="K46" s="8">
        <f t="shared" si="2"/>
        <v>287595</v>
      </c>
      <c r="L46" s="8">
        <v>5000</v>
      </c>
      <c r="M46" s="8">
        <f t="shared" si="3"/>
        <v>14379.75</v>
      </c>
      <c r="N46" s="8">
        <f t="shared" si="4"/>
        <v>273215.25</v>
      </c>
      <c r="O46" s="8">
        <f t="shared" si="5"/>
        <v>8753.1666666666661</v>
      </c>
      <c r="P46" s="11">
        <f t="shared" si="6"/>
        <v>6391</v>
      </c>
      <c r="Q46" s="8">
        <f t="shared" si="7"/>
        <v>28759.5</v>
      </c>
      <c r="R46" s="11">
        <f t="shared" si="8"/>
        <v>5033.7564102564102</v>
      </c>
      <c r="S46" s="8">
        <f t="shared" si="9"/>
        <v>50793.43</v>
      </c>
      <c r="T46" s="11">
        <f t="shared" si="10"/>
        <v>3834.6</v>
      </c>
      <c r="U46" s="11">
        <f t="shared" si="11"/>
        <v>4709.916666666667</v>
      </c>
    </row>
    <row r="47" spans="2:21">
      <c r="B47" s="9">
        <v>7</v>
      </c>
      <c r="C47" s="9">
        <v>3</v>
      </c>
      <c r="D47" s="9">
        <v>325</v>
      </c>
      <c r="E47" s="10" t="s">
        <v>37</v>
      </c>
      <c r="F47" s="10" t="s">
        <v>19</v>
      </c>
      <c r="G47" s="10" t="s">
        <v>39</v>
      </c>
      <c r="H47" s="8">
        <f>[1]Pricing!E17</f>
        <v>950</v>
      </c>
      <c r="I47" s="8">
        <f t="shared" si="0"/>
        <v>308750</v>
      </c>
      <c r="J47" s="8">
        <f t="shared" si="1"/>
        <v>15437.5</v>
      </c>
      <c r="K47" s="8">
        <f t="shared" si="2"/>
        <v>324187.5</v>
      </c>
      <c r="L47" s="8">
        <v>5000</v>
      </c>
      <c r="M47" s="8">
        <f t="shared" si="3"/>
        <v>16209.375</v>
      </c>
      <c r="N47" s="8">
        <f t="shared" si="4"/>
        <v>307978.125</v>
      </c>
      <c r="O47" s="8">
        <f t="shared" si="5"/>
        <v>9972.9166666666661</v>
      </c>
      <c r="P47" s="11">
        <f t="shared" si="6"/>
        <v>7204.166666666667</v>
      </c>
      <c r="Q47" s="8">
        <f t="shared" si="7"/>
        <v>32418.75</v>
      </c>
      <c r="R47" s="11">
        <f t="shared" si="8"/>
        <v>5690.5448717948721</v>
      </c>
      <c r="S47" s="8">
        <f t="shared" si="9"/>
        <v>57892.375</v>
      </c>
      <c r="T47" s="11">
        <f t="shared" si="10"/>
        <v>4322.5</v>
      </c>
      <c r="U47" s="11">
        <f t="shared" si="11"/>
        <v>5319.791666666667</v>
      </c>
    </row>
    <row r="48" spans="2:21">
      <c r="B48" s="9">
        <v>7</v>
      </c>
      <c r="C48" s="9">
        <v>4</v>
      </c>
      <c r="D48" s="9">
        <v>232</v>
      </c>
      <c r="E48" s="10" t="s">
        <v>37</v>
      </c>
      <c r="F48" s="10" t="s">
        <v>43</v>
      </c>
      <c r="G48" s="10" t="s">
        <v>39</v>
      </c>
      <c r="H48" s="8">
        <f>[1]Pricing!E22</f>
        <v>900</v>
      </c>
      <c r="I48" s="8">
        <f t="shared" si="0"/>
        <v>208800</v>
      </c>
      <c r="J48" s="8">
        <f t="shared" si="1"/>
        <v>10440</v>
      </c>
      <c r="K48" s="8">
        <f t="shared" si="2"/>
        <v>219240</v>
      </c>
      <c r="L48" s="8">
        <v>5000</v>
      </c>
      <c r="M48" s="8">
        <f t="shared" si="3"/>
        <v>10962</v>
      </c>
      <c r="N48" s="8">
        <f t="shared" si="4"/>
        <v>208278</v>
      </c>
      <c r="O48" s="8">
        <f t="shared" si="5"/>
        <v>6474.666666666667</v>
      </c>
      <c r="P48" s="11">
        <f t="shared" si="6"/>
        <v>4872</v>
      </c>
      <c r="Q48" s="8">
        <f t="shared" si="7"/>
        <v>21924</v>
      </c>
      <c r="R48" s="11">
        <f t="shared" si="8"/>
        <v>3806.8717948717949</v>
      </c>
      <c r="S48" s="8">
        <f t="shared" si="9"/>
        <v>37532.559999999998</v>
      </c>
      <c r="T48" s="11">
        <f t="shared" si="10"/>
        <v>2923.2</v>
      </c>
      <c r="U48" s="11">
        <f t="shared" si="11"/>
        <v>3570.6666666666665</v>
      </c>
    </row>
    <row r="49" spans="2:21">
      <c r="B49" s="9">
        <v>7</v>
      </c>
      <c r="C49" s="9">
        <v>5</v>
      </c>
      <c r="D49" s="9">
        <v>299</v>
      </c>
      <c r="E49" s="10" t="s">
        <v>37</v>
      </c>
      <c r="F49" s="10" t="s">
        <v>19</v>
      </c>
      <c r="G49" s="10" t="s">
        <v>39</v>
      </c>
      <c r="H49" s="8">
        <f>[1]Pricing!E17</f>
        <v>950</v>
      </c>
      <c r="I49" s="8">
        <f t="shared" si="0"/>
        <v>284050</v>
      </c>
      <c r="J49" s="8">
        <f t="shared" si="1"/>
        <v>14202.5</v>
      </c>
      <c r="K49" s="8">
        <f t="shared" si="2"/>
        <v>298252.5</v>
      </c>
      <c r="L49" s="8">
        <v>5000</v>
      </c>
      <c r="M49" s="8">
        <f t="shared" si="3"/>
        <v>14912.625</v>
      </c>
      <c r="N49" s="8">
        <f t="shared" si="4"/>
        <v>283339.875</v>
      </c>
      <c r="O49" s="8">
        <f t="shared" si="5"/>
        <v>9108.4166666666661</v>
      </c>
      <c r="P49" s="11">
        <f t="shared" si="6"/>
        <v>6627.833333333333</v>
      </c>
      <c r="Q49" s="8">
        <f t="shared" si="7"/>
        <v>29825.25</v>
      </c>
      <c r="R49" s="11">
        <f t="shared" si="8"/>
        <v>5225.0448717948721</v>
      </c>
      <c r="S49" s="8">
        <f t="shared" si="9"/>
        <v>52860.985000000001</v>
      </c>
      <c r="T49" s="11">
        <f t="shared" si="10"/>
        <v>3976.7</v>
      </c>
      <c r="U49" s="11">
        <f t="shared" si="11"/>
        <v>4887.541666666667</v>
      </c>
    </row>
    <row r="50" spans="2:21">
      <c r="B50" s="9">
        <v>7</v>
      </c>
      <c r="C50" s="9">
        <v>6</v>
      </c>
      <c r="D50" s="9">
        <v>249</v>
      </c>
      <c r="E50" s="10" t="s">
        <v>37</v>
      </c>
      <c r="F50" s="10" t="s">
        <v>43</v>
      </c>
      <c r="G50" s="10" t="s">
        <v>39</v>
      </c>
      <c r="H50" s="8">
        <f>H48</f>
        <v>900</v>
      </c>
      <c r="I50" s="8">
        <f t="shared" si="0"/>
        <v>224100</v>
      </c>
      <c r="J50" s="8">
        <f t="shared" si="1"/>
        <v>11205</v>
      </c>
      <c r="K50" s="8">
        <f t="shared" si="2"/>
        <v>235305</v>
      </c>
      <c r="L50" s="8">
        <v>5000</v>
      </c>
      <c r="M50" s="8">
        <f t="shared" si="3"/>
        <v>11765.25</v>
      </c>
      <c r="N50" s="8">
        <f t="shared" si="4"/>
        <v>223539.75</v>
      </c>
      <c r="O50" s="8">
        <f t="shared" si="5"/>
        <v>7010.166666666667</v>
      </c>
      <c r="P50" s="11">
        <f t="shared" si="6"/>
        <v>5229</v>
      </c>
      <c r="Q50" s="8">
        <f t="shared" si="7"/>
        <v>23530.5</v>
      </c>
      <c r="R50" s="11">
        <f t="shared" si="8"/>
        <v>4095.2179487179487</v>
      </c>
      <c r="S50" s="8">
        <f t="shared" si="9"/>
        <v>40649.17</v>
      </c>
      <c r="T50" s="11">
        <f t="shared" si="10"/>
        <v>3137.4</v>
      </c>
      <c r="U50" s="11">
        <f t="shared" si="11"/>
        <v>3838.4166666666665</v>
      </c>
    </row>
    <row r="51" spans="2:21">
      <c r="B51" s="9">
        <v>7</v>
      </c>
      <c r="C51" s="9">
        <v>7</v>
      </c>
      <c r="D51" s="9">
        <v>313</v>
      </c>
      <c r="E51" s="10" t="s">
        <v>37</v>
      </c>
      <c r="F51" s="10" t="s">
        <v>19</v>
      </c>
      <c r="G51" s="10" t="s">
        <v>39</v>
      </c>
      <c r="H51" s="8">
        <f>H49</f>
        <v>950</v>
      </c>
      <c r="I51" s="8">
        <f t="shared" si="0"/>
        <v>297350</v>
      </c>
      <c r="J51" s="8">
        <f t="shared" si="1"/>
        <v>14867.5</v>
      </c>
      <c r="K51" s="8">
        <f t="shared" si="2"/>
        <v>312217.5</v>
      </c>
      <c r="L51" s="8">
        <v>5000</v>
      </c>
      <c r="M51" s="8">
        <f t="shared" si="3"/>
        <v>15610.875</v>
      </c>
      <c r="N51" s="8">
        <f t="shared" si="4"/>
        <v>296606.625</v>
      </c>
      <c r="O51" s="8">
        <f t="shared" si="5"/>
        <v>9573.9166666666661</v>
      </c>
      <c r="P51" s="11">
        <f t="shared" si="6"/>
        <v>6938.166666666667</v>
      </c>
      <c r="Q51" s="8">
        <f t="shared" si="7"/>
        <v>31221.75</v>
      </c>
      <c r="R51" s="11">
        <f t="shared" si="8"/>
        <v>5475.6987179487178</v>
      </c>
      <c r="S51" s="8">
        <f t="shared" si="9"/>
        <v>55570.195</v>
      </c>
      <c r="T51" s="11">
        <f t="shared" si="10"/>
        <v>4162.8999999999996</v>
      </c>
      <c r="U51" s="11">
        <f t="shared" si="11"/>
        <v>5120.291666666667</v>
      </c>
    </row>
    <row r="52" spans="2:21">
      <c r="B52" s="9">
        <v>7</v>
      </c>
      <c r="C52" s="9">
        <v>8</v>
      </c>
      <c r="D52" s="9">
        <v>313</v>
      </c>
      <c r="E52" s="10" t="s">
        <v>37</v>
      </c>
      <c r="F52" s="10" t="s">
        <v>43</v>
      </c>
      <c r="G52" s="10" t="s">
        <v>39</v>
      </c>
      <c r="H52" s="8">
        <f>H50</f>
        <v>900</v>
      </c>
      <c r="I52" s="8">
        <f t="shared" si="0"/>
        <v>281700</v>
      </c>
      <c r="J52" s="8">
        <f t="shared" si="1"/>
        <v>14085</v>
      </c>
      <c r="K52" s="8">
        <f t="shared" si="2"/>
        <v>295785</v>
      </c>
      <c r="L52" s="8">
        <v>5000</v>
      </c>
      <c r="M52" s="8">
        <f t="shared" si="3"/>
        <v>14789.25</v>
      </c>
      <c r="N52" s="8">
        <f t="shared" si="4"/>
        <v>280995.75</v>
      </c>
      <c r="O52" s="8">
        <f t="shared" si="5"/>
        <v>9026.1666666666661</v>
      </c>
      <c r="P52" s="11">
        <f t="shared" si="6"/>
        <v>6573</v>
      </c>
      <c r="Q52" s="8">
        <f t="shared" si="7"/>
        <v>29578.5</v>
      </c>
      <c r="R52" s="11">
        <f t="shared" si="8"/>
        <v>5180.7564102564102</v>
      </c>
      <c r="S52" s="8">
        <f t="shared" si="9"/>
        <v>52382.29</v>
      </c>
      <c r="T52" s="11">
        <f t="shared" si="10"/>
        <v>3943.8</v>
      </c>
      <c r="U52" s="11">
        <f t="shared" si="11"/>
        <v>4846.416666666667</v>
      </c>
    </row>
    <row r="53" spans="2:21">
      <c r="B53" s="9">
        <v>7</v>
      </c>
      <c r="C53" s="9">
        <v>9</v>
      </c>
      <c r="D53" s="9">
        <v>269</v>
      </c>
      <c r="E53" s="10" t="s">
        <v>35</v>
      </c>
      <c r="F53" s="10" t="s">
        <v>19</v>
      </c>
      <c r="G53" s="10" t="s">
        <v>39</v>
      </c>
      <c r="H53" s="8">
        <f>[1]Pricing!E7</f>
        <v>1000</v>
      </c>
      <c r="I53" s="8">
        <f t="shared" si="0"/>
        <v>269000</v>
      </c>
      <c r="J53" s="8">
        <f t="shared" si="1"/>
        <v>13450</v>
      </c>
      <c r="K53" s="8">
        <f t="shared" si="2"/>
        <v>282450</v>
      </c>
      <c r="L53" s="8">
        <v>5000</v>
      </c>
      <c r="M53" s="8">
        <f t="shared" si="3"/>
        <v>14122.5</v>
      </c>
      <c r="N53" s="8">
        <f t="shared" si="4"/>
        <v>268327.5</v>
      </c>
      <c r="O53" s="8">
        <f t="shared" si="5"/>
        <v>8581.6666666666661</v>
      </c>
      <c r="P53" s="11">
        <f t="shared" si="6"/>
        <v>6276.666666666667</v>
      </c>
      <c r="Q53" s="8">
        <f t="shared" si="7"/>
        <v>28245</v>
      </c>
      <c r="R53" s="11">
        <f t="shared" si="8"/>
        <v>4941.4102564102568</v>
      </c>
      <c r="S53" s="8">
        <f t="shared" si="9"/>
        <v>49795.299999999996</v>
      </c>
      <c r="T53" s="11">
        <f t="shared" si="10"/>
        <v>3766</v>
      </c>
      <c r="U53" s="11">
        <f t="shared" si="11"/>
        <v>4624.166666666667</v>
      </c>
    </row>
    <row r="54" spans="2:21">
      <c r="B54" s="9">
        <v>7</v>
      </c>
      <c r="C54" s="9">
        <v>10</v>
      </c>
      <c r="D54" s="9">
        <v>272</v>
      </c>
      <c r="E54" s="10" t="s">
        <v>35</v>
      </c>
      <c r="F54" s="10" t="s">
        <v>19</v>
      </c>
      <c r="G54" s="10" t="s">
        <v>39</v>
      </c>
      <c r="H54" s="8">
        <f>[1]Pricing!E7</f>
        <v>1000</v>
      </c>
      <c r="I54" s="8">
        <f t="shared" si="0"/>
        <v>272000</v>
      </c>
      <c r="J54" s="8">
        <f t="shared" si="1"/>
        <v>13600</v>
      </c>
      <c r="K54" s="8">
        <f t="shared" si="2"/>
        <v>285600</v>
      </c>
      <c r="L54" s="8">
        <v>5000</v>
      </c>
      <c r="M54" s="8">
        <f t="shared" si="3"/>
        <v>14280</v>
      </c>
      <c r="N54" s="8">
        <f t="shared" si="4"/>
        <v>271320</v>
      </c>
      <c r="O54" s="8">
        <f t="shared" si="5"/>
        <v>8686.6666666666661</v>
      </c>
      <c r="P54" s="11">
        <f t="shared" si="6"/>
        <v>6346.666666666667</v>
      </c>
      <c r="Q54" s="8">
        <f t="shared" si="7"/>
        <v>28560</v>
      </c>
      <c r="R54" s="11">
        <f t="shared" si="8"/>
        <v>4997.9487179487178</v>
      </c>
      <c r="S54" s="8">
        <f t="shared" si="9"/>
        <v>50406.400000000001</v>
      </c>
      <c r="T54" s="11">
        <f t="shared" si="10"/>
        <v>3808</v>
      </c>
      <c r="U54" s="11">
        <f t="shared" si="11"/>
        <v>4676.666666666667</v>
      </c>
    </row>
    <row r="55" spans="2:21">
      <c r="B55" s="9">
        <v>8</v>
      </c>
      <c r="C55" s="9">
        <v>1</v>
      </c>
      <c r="D55" s="9">
        <v>434</v>
      </c>
      <c r="E55" s="10" t="s">
        <v>35</v>
      </c>
      <c r="F55" s="10" t="s">
        <v>43</v>
      </c>
      <c r="G55" s="10" t="s">
        <v>38</v>
      </c>
      <c r="H55" s="8">
        <f>[1]Pricing!E10</f>
        <v>1150</v>
      </c>
      <c r="I55" s="8">
        <f t="shared" si="0"/>
        <v>499100</v>
      </c>
      <c r="J55" s="8">
        <f t="shared" si="1"/>
        <v>24955</v>
      </c>
      <c r="K55" s="8">
        <f t="shared" si="2"/>
        <v>524055</v>
      </c>
      <c r="L55" s="8">
        <v>5000</v>
      </c>
      <c r="M55" s="8">
        <f t="shared" si="3"/>
        <v>26202.75</v>
      </c>
      <c r="N55" s="8">
        <f t="shared" si="4"/>
        <v>497852.25</v>
      </c>
      <c r="O55" s="8">
        <f t="shared" si="5"/>
        <v>16635.166666666668</v>
      </c>
      <c r="P55" s="11">
        <f t="shared" si="6"/>
        <v>11645.666666666666</v>
      </c>
      <c r="Q55" s="8">
        <f t="shared" si="7"/>
        <v>52405.5</v>
      </c>
      <c r="R55" s="11">
        <f t="shared" si="8"/>
        <v>9277.9102564102559</v>
      </c>
      <c r="S55" s="8">
        <f t="shared" si="9"/>
        <v>96666.67</v>
      </c>
      <c r="T55" s="11">
        <f t="shared" si="10"/>
        <v>6987.4</v>
      </c>
      <c r="U55" s="11">
        <f t="shared" si="11"/>
        <v>8650.9166666666661</v>
      </c>
    </row>
    <row r="56" spans="2:21">
      <c r="B56" s="9">
        <v>8</v>
      </c>
      <c r="C56" s="9">
        <v>2</v>
      </c>
      <c r="D56" s="9">
        <v>484</v>
      </c>
      <c r="E56" s="10" t="s">
        <v>37</v>
      </c>
      <c r="F56" s="10" t="s">
        <v>43</v>
      </c>
      <c r="G56" s="10" t="s">
        <v>38</v>
      </c>
      <c r="H56" s="8">
        <f>[1]Pricing!E20</f>
        <v>1100</v>
      </c>
      <c r="I56" s="8">
        <f t="shared" si="0"/>
        <v>532400</v>
      </c>
      <c r="J56" s="8">
        <f t="shared" si="1"/>
        <v>26620</v>
      </c>
      <c r="K56" s="8">
        <f t="shared" si="2"/>
        <v>559020</v>
      </c>
      <c r="L56" s="8">
        <v>5000</v>
      </c>
      <c r="M56" s="8">
        <f t="shared" si="3"/>
        <v>27951</v>
      </c>
      <c r="N56" s="8">
        <f t="shared" si="4"/>
        <v>531069</v>
      </c>
      <c r="O56" s="8">
        <f t="shared" si="5"/>
        <v>17800.666666666668</v>
      </c>
      <c r="P56" s="11">
        <f t="shared" si="6"/>
        <v>12422.666666666666</v>
      </c>
      <c r="Q56" s="8">
        <f t="shared" si="7"/>
        <v>55902</v>
      </c>
      <c r="R56" s="11">
        <f t="shared" si="8"/>
        <v>9905.4871794871797</v>
      </c>
      <c r="S56" s="8">
        <f t="shared" si="9"/>
        <v>103449.87999999999</v>
      </c>
      <c r="T56" s="11">
        <f t="shared" si="10"/>
        <v>7453.6</v>
      </c>
      <c r="U56" s="11">
        <f t="shared" si="11"/>
        <v>9233.6666666666661</v>
      </c>
    </row>
    <row r="57" spans="2:21">
      <c r="B57" s="9">
        <v>8</v>
      </c>
      <c r="C57" s="9">
        <v>3</v>
      </c>
      <c r="D57" s="9">
        <v>421</v>
      </c>
      <c r="E57" s="10" t="s">
        <v>35</v>
      </c>
      <c r="F57" s="10" t="s">
        <v>43</v>
      </c>
      <c r="G57" s="10" t="s">
        <v>38</v>
      </c>
      <c r="H57" s="8">
        <f>H55</f>
        <v>1150</v>
      </c>
      <c r="I57" s="8">
        <f t="shared" si="0"/>
        <v>484150</v>
      </c>
      <c r="J57" s="8">
        <f t="shared" si="1"/>
        <v>24207.5</v>
      </c>
      <c r="K57" s="8">
        <f t="shared" si="2"/>
        <v>508357.5</v>
      </c>
      <c r="L57" s="8">
        <v>5000</v>
      </c>
      <c r="M57" s="8">
        <f t="shared" si="3"/>
        <v>25417.875</v>
      </c>
      <c r="N57" s="8">
        <f t="shared" si="4"/>
        <v>482939.625</v>
      </c>
      <c r="O57" s="8">
        <f t="shared" si="5"/>
        <v>16111.916666666666</v>
      </c>
      <c r="P57" s="11">
        <f t="shared" si="6"/>
        <v>11296.833333333334</v>
      </c>
      <c r="Q57" s="8">
        <f t="shared" si="7"/>
        <v>50835.75</v>
      </c>
      <c r="R57" s="11">
        <f t="shared" si="8"/>
        <v>8996.1602564102559</v>
      </c>
      <c r="S57" s="8">
        <f t="shared" si="9"/>
        <v>93621.354999999996</v>
      </c>
      <c r="T57" s="11">
        <f t="shared" si="10"/>
        <v>6778.1</v>
      </c>
      <c r="U57" s="11">
        <f t="shared" si="11"/>
        <v>8389.2916666666661</v>
      </c>
    </row>
    <row r="58" spans="2:21">
      <c r="B58" s="9">
        <v>9</v>
      </c>
      <c r="C58" s="9">
        <v>1</v>
      </c>
      <c r="D58" s="9">
        <v>284</v>
      </c>
      <c r="E58" s="10" t="s">
        <v>35</v>
      </c>
      <c r="F58" s="10" t="s">
        <v>19</v>
      </c>
      <c r="G58" s="10" t="s">
        <v>39</v>
      </c>
      <c r="H58" s="8">
        <f>[1]Pricing!E7</f>
        <v>1000</v>
      </c>
      <c r="I58" s="8">
        <f t="shared" si="0"/>
        <v>284000</v>
      </c>
      <c r="J58" s="8">
        <f t="shared" si="1"/>
        <v>14200</v>
      </c>
      <c r="K58" s="8">
        <f t="shared" si="2"/>
        <v>298200</v>
      </c>
      <c r="L58" s="8">
        <v>5000</v>
      </c>
      <c r="M58" s="8">
        <f t="shared" si="3"/>
        <v>14910</v>
      </c>
      <c r="N58" s="8">
        <f t="shared" si="4"/>
        <v>283290</v>
      </c>
      <c r="O58" s="8">
        <f t="shared" si="5"/>
        <v>9106.6666666666661</v>
      </c>
      <c r="P58" s="11">
        <f t="shared" si="6"/>
        <v>6626.666666666667</v>
      </c>
      <c r="Q58" s="8">
        <f t="shared" si="7"/>
        <v>29820</v>
      </c>
      <c r="R58" s="11">
        <f t="shared" si="8"/>
        <v>5224.1025641025644</v>
      </c>
      <c r="S58" s="8">
        <f t="shared" si="9"/>
        <v>52850.799999999996</v>
      </c>
      <c r="T58" s="11">
        <f t="shared" si="10"/>
        <v>3976</v>
      </c>
      <c r="U58" s="11">
        <f t="shared" si="11"/>
        <v>4886.666666666667</v>
      </c>
    </row>
    <row r="59" spans="2:21">
      <c r="B59" s="9">
        <v>9</v>
      </c>
      <c r="C59" s="9">
        <v>2</v>
      </c>
      <c r="D59" s="9">
        <v>252</v>
      </c>
      <c r="E59" s="10" t="s">
        <v>37</v>
      </c>
      <c r="F59" s="10" t="s">
        <v>19</v>
      </c>
      <c r="G59" s="10" t="s">
        <v>39</v>
      </c>
      <c r="H59" s="8">
        <f>[1]Pricing!E17</f>
        <v>950</v>
      </c>
      <c r="I59" s="8">
        <f t="shared" si="0"/>
        <v>239400</v>
      </c>
      <c r="J59" s="8">
        <f t="shared" si="1"/>
        <v>11970</v>
      </c>
      <c r="K59" s="8">
        <f t="shared" si="2"/>
        <v>251370</v>
      </c>
      <c r="L59" s="8">
        <v>5000</v>
      </c>
      <c r="M59" s="8">
        <f t="shared" si="3"/>
        <v>12568.5</v>
      </c>
      <c r="N59" s="8">
        <f t="shared" si="4"/>
        <v>238801.5</v>
      </c>
      <c r="O59" s="8">
        <f t="shared" si="5"/>
        <v>7545.666666666667</v>
      </c>
      <c r="P59" s="11">
        <f t="shared" si="6"/>
        <v>5586</v>
      </c>
      <c r="Q59" s="8">
        <f t="shared" si="7"/>
        <v>25137</v>
      </c>
      <c r="R59" s="11">
        <f t="shared" si="8"/>
        <v>4383.5641025641025</v>
      </c>
      <c r="S59" s="8">
        <f t="shared" si="9"/>
        <v>43765.78</v>
      </c>
      <c r="T59" s="11">
        <f t="shared" si="10"/>
        <v>3351.6</v>
      </c>
      <c r="U59" s="11">
        <f t="shared" si="11"/>
        <v>4106.166666666667</v>
      </c>
    </row>
    <row r="60" spans="2:21">
      <c r="B60" s="9">
        <v>9</v>
      </c>
      <c r="C60" s="9">
        <v>3</v>
      </c>
      <c r="D60" s="9">
        <v>231</v>
      </c>
      <c r="E60" s="10" t="s">
        <v>37</v>
      </c>
      <c r="F60" s="10" t="s">
        <v>19</v>
      </c>
      <c r="G60" s="10" t="s">
        <v>39</v>
      </c>
      <c r="H60" s="8">
        <f>H59</f>
        <v>950</v>
      </c>
      <c r="I60" s="8">
        <f t="shared" si="0"/>
        <v>219450</v>
      </c>
      <c r="J60" s="8">
        <f t="shared" si="1"/>
        <v>10972.5</v>
      </c>
      <c r="K60" s="8">
        <f t="shared" si="2"/>
        <v>230422.5</v>
      </c>
      <c r="L60" s="8">
        <v>5000</v>
      </c>
      <c r="M60" s="8">
        <f t="shared" si="3"/>
        <v>11521.125</v>
      </c>
      <c r="N60" s="8">
        <f t="shared" si="4"/>
        <v>218901.375</v>
      </c>
      <c r="O60" s="8">
        <f t="shared" si="5"/>
        <v>6847.416666666667</v>
      </c>
      <c r="P60" s="11">
        <f t="shared" si="6"/>
        <v>5120.5</v>
      </c>
      <c r="Q60" s="8">
        <f t="shared" si="7"/>
        <v>23042.25</v>
      </c>
      <c r="R60" s="11">
        <f t="shared" si="8"/>
        <v>4007.5833333333335</v>
      </c>
      <c r="S60" s="8">
        <f t="shared" si="9"/>
        <v>39701.964999999997</v>
      </c>
      <c r="T60" s="11">
        <f t="shared" si="10"/>
        <v>3072.3</v>
      </c>
      <c r="U60" s="11">
        <f t="shared" si="11"/>
        <v>3757.0416666666665</v>
      </c>
    </row>
    <row r="61" spans="2:21">
      <c r="B61" s="9">
        <v>9</v>
      </c>
      <c r="C61" s="9">
        <v>4</v>
      </c>
      <c r="D61" s="9">
        <v>337</v>
      </c>
      <c r="E61" s="10" t="s">
        <v>37</v>
      </c>
      <c r="F61" s="10" t="s">
        <v>19</v>
      </c>
      <c r="G61" s="10" t="s">
        <v>39</v>
      </c>
      <c r="H61" s="8">
        <f>H60</f>
        <v>950</v>
      </c>
      <c r="I61" s="8">
        <f t="shared" si="0"/>
        <v>320150</v>
      </c>
      <c r="J61" s="8">
        <f t="shared" si="1"/>
        <v>16007.5</v>
      </c>
      <c r="K61" s="8">
        <f t="shared" si="2"/>
        <v>336157.5</v>
      </c>
      <c r="L61" s="8">
        <v>5000</v>
      </c>
      <c r="M61" s="8">
        <f t="shared" si="3"/>
        <v>16807.875</v>
      </c>
      <c r="N61" s="8">
        <f t="shared" si="4"/>
        <v>319349.625</v>
      </c>
      <c r="O61" s="8">
        <f t="shared" si="5"/>
        <v>10371.916666666666</v>
      </c>
      <c r="P61" s="11">
        <f t="shared" si="6"/>
        <v>7470.166666666667</v>
      </c>
      <c r="Q61" s="8">
        <f t="shared" si="7"/>
        <v>33615.75</v>
      </c>
      <c r="R61" s="11">
        <f t="shared" si="8"/>
        <v>5905.3910256410245</v>
      </c>
      <c r="S61" s="8">
        <f t="shared" si="9"/>
        <v>60214.555</v>
      </c>
      <c r="T61" s="11">
        <f t="shared" si="10"/>
        <v>4482.1000000000004</v>
      </c>
      <c r="U61" s="11">
        <f t="shared" si="11"/>
        <v>5519.291666666667</v>
      </c>
    </row>
    <row r="62" spans="2:21">
      <c r="B62" s="9">
        <v>9</v>
      </c>
      <c r="C62" s="9">
        <v>5</v>
      </c>
      <c r="D62" s="9">
        <v>225</v>
      </c>
      <c r="E62" s="10" t="s">
        <v>37</v>
      </c>
      <c r="F62" s="10" t="s">
        <v>19</v>
      </c>
      <c r="G62" s="10" t="s">
        <v>39</v>
      </c>
      <c r="H62" s="8">
        <f t="shared" ref="H62:H66" si="12">H61</f>
        <v>950</v>
      </c>
      <c r="I62" s="8">
        <f t="shared" si="0"/>
        <v>213750</v>
      </c>
      <c r="J62" s="8">
        <f t="shared" si="1"/>
        <v>10687.5</v>
      </c>
      <c r="K62" s="8">
        <f t="shared" si="2"/>
        <v>224437.5</v>
      </c>
      <c r="L62" s="8">
        <v>5000</v>
      </c>
      <c r="M62" s="8">
        <f t="shared" si="3"/>
        <v>11221.875</v>
      </c>
      <c r="N62" s="8">
        <f t="shared" si="4"/>
        <v>213215.625</v>
      </c>
      <c r="O62" s="8">
        <f t="shared" si="5"/>
        <v>6647.916666666667</v>
      </c>
      <c r="P62" s="11">
        <f t="shared" si="6"/>
        <v>4987.5</v>
      </c>
      <c r="Q62" s="8">
        <f t="shared" si="7"/>
        <v>22443.75</v>
      </c>
      <c r="R62" s="11">
        <f t="shared" si="8"/>
        <v>3900.1602564102564</v>
      </c>
      <c r="S62" s="8">
        <f t="shared" si="9"/>
        <v>38540.875</v>
      </c>
      <c r="T62" s="11">
        <f t="shared" si="10"/>
        <v>2992.5</v>
      </c>
      <c r="U62" s="11">
        <f t="shared" si="11"/>
        <v>3657.2916666666665</v>
      </c>
    </row>
    <row r="63" spans="2:21">
      <c r="B63" s="9">
        <v>9</v>
      </c>
      <c r="C63" s="9">
        <v>6</v>
      </c>
      <c r="D63" s="9">
        <v>225</v>
      </c>
      <c r="E63" s="10" t="s">
        <v>37</v>
      </c>
      <c r="F63" s="10" t="s">
        <v>19</v>
      </c>
      <c r="G63" s="10" t="s">
        <v>39</v>
      </c>
      <c r="H63" s="8">
        <f t="shared" si="12"/>
        <v>950</v>
      </c>
      <c r="I63" s="8">
        <f t="shared" si="0"/>
        <v>213750</v>
      </c>
      <c r="J63" s="8">
        <f t="shared" si="1"/>
        <v>10687.5</v>
      </c>
      <c r="K63" s="8">
        <f t="shared" si="2"/>
        <v>224437.5</v>
      </c>
      <c r="L63" s="8">
        <v>5000</v>
      </c>
      <c r="M63" s="8">
        <f t="shared" si="3"/>
        <v>11221.875</v>
      </c>
      <c r="N63" s="8">
        <f t="shared" si="4"/>
        <v>213215.625</v>
      </c>
      <c r="O63" s="8">
        <f t="shared" si="5"/>
        <v>6647.916666666667</v>
      </c>
      <c r="P63" s="11">
        <f t="shared" si="6"/>
        <v>4987.5</v>
      </c>
      <c r="Q63" s="8">
        <f t="shared" si="7"/>
        <v>22443.75</v>
      </c>
      <c r="R63" s="11">
        <f t="shared" si="8"/>
        <v>3900.1602564102564</v>
      </c>
      <c r="S63" s="8">
        <f t="shared" si="9"/>
        <v>38540.875</v>
      </c>
      <c r="T63" s="11">
        <f t="shared" si="10"/>
        <v>2992.5</v>
      </c>
      <c r="U63" s="11">
        <f t="shared" si="11"/>
        <v>3657.2916666666665</v>
      </c>
    </row>
    <row r="64" spans="2:21">
      <c r="B64" s="9">
        <v>9</v>
      </c>
      <c r="C64" s="9">
        <v>7</v>
      </c>
      <c r="D64" s="9">
        <v>225</v>
      </c>
      <c r="E64" s="10" t="s">
        <v>37</v>
      </c>
      <c r="F64" s="10" t="s">
        <v>19</v>
      </c>
      <c r="G64" s="10" t="s">
        <v>39</v>
      </c>
      <c r="H64" s="8">
        <f t="shared" si="12"/>
        <v>950</v>
      </c>
      <c r="I64" s="8">
        <f t="shared" si="0"/>
        <v>213750</v>
      </c>
      <c r="J64" s="8">
        <f t="shared" si="1"/>
        <v>10687.5</v>
      </c>
      <c r="K64" s="8">
        <f t="shared" si="2"/>
        <v>224437.5</v>
      </c>
      <c r="L64" s="8">
        <v>5000</v>
      </c>
      <c r="M64" s="8">
        <f t="shared" si="3"/>
        <v>11221.875</v>
      </c>
      <c r="N64" s="8">
        <f t="shared" si="4"/>
        <v>213215.625</v>
      </c>
      <c r="O64" s="8">
        <f t="shared" si="5"/>
        <v>6647.916666666667</v>
      </c>
      <c r="P64" s="11">
        <f t="shared" si="6"/>
        <v>4987.5</v>
      </c>
      <c r="Q64" s="8">
        <f t="shared" si="7"/>
        <v>22443.75</v>
      </c>
      <c r="R64" s="11">
        <f t="shared" si="8"/>
        <v>3900.1602564102564</v>
      </c>
      <c r="S64" s="8">
        <f t="shared" si="9"/>
        <v>38540.875</v>
      </c>
      <c r="T64" s="11">
        <f t="shared" si="10"/>
        <v>2992.5</v>
      </c>
      <c r="U64" s="11">
        <f t="shared" si="11"/>
        <v>3657.2916666666665</v>
      </c>
    </row>
    <row r="65" spans="2:21">
      <c r="B65" s="9">
        <v>9</v>
      </c>
      <c r="C65" s="9">
        <v>8</v>
      </c>
      <c r="D65" s="9">
        <v>225</v>
      </c>
      <c r="E65" s="10" t="s">
        <v>37</v>
      </c>
      <c r="F65" s="10" t="s">
        <v>19</v>
      </c>
      <c r="G65" s="10" t="s">
        <v>39</v>
      </c>
      <c r="H65" s="8">
        <f t="shared" si="12"/>
        <v>950</v>
      </c>
      <c r="I65" s="8">
        <f t="shared" si="0"/>
        <v>213750</v>
      </c>
      <c r="J65" s="8">
        <f t="shared" si="1"/>
        <v>10687.5</v>
      </c>
      <c r="K65" s="8">
        <f t="shared" si="2"/>
        <v>224437.5</v>
      </c>
      <c r="L65" s="8">
        <v>5000</v>
      </c>
      <c r="M65" s="8">
        <f t="shared" si="3"/>
        <v>11221.875</v>
      </c>
      <c r="N65" s="8">
        <f t="shared" si="4"/>
        <v>213215.625</v>
      </c>
      <c r="O65" s="8">
        <f t="shared" si="5"/>
        <v>6647.916666666667</v>
      </c>
      <c r="P65" s="11">
        <f t="shared" si="6"/>
        <v>4987.5</v>
      </c>
      <c r="Q65" s="8">
        <f t="shared" si="7"/>
        <v>22443.75</v>
      </c>
      <c r="R65" s="11">
        <f t="shared" si="8"/>
        <v>3900.1602564102564</v>
      </c>
      <c r="S65" s="8">
        <f t="shared" si="9"/>
        <v>38540.875</v>
      </c>
      <c r="T65" s="11">
        <f t="shared" si="10"/>
        <v>2992.5</v>
      </c>
      <c r="U65" s="11">
        <f t="shared" si="11"/>
        <v>3657.2916666666665</v>
      </c>
    </row>
    <row r="66" spans="2:21">
      <c r="B66" s="9">
        <v>9</v>
      </c>
      <c r="C66" s="9">
        <v>9</v>
      </c>
      <c r="D66" s="9">
        <v>225</v>
      </c>
      <c r="E66" s="10" t="s">
        <v>37</v>
      </c>
      <c r="F66" s="10" t="s">
        <v>19</v>
      </c>
      <c r="G66" s="10" t="s">
        <v>39</v>
      </c>
      <c r="H66" s="8">
        <f t="shared" si="12"/>
        <v>950</v>
      </c>
      <c r="I66" s="8">
        <f t="shared" si="0"/>
        <v>213750</v>
      </c>
      <c r="J66" s="8">
        <f t="shared" si="1"/>
        <v>10687.5</v>
      </c>
      <c r="K66" s="8">
        <f t="shared" si="2"/>
        <v>224437.5</v>
      </c>
      <c r="L66" s="8">
        <v>5000</v>
      </c>
      <c r="M66" s="8">
        <f t="shared" si="3"/>
        <v>11221.875</v>
      </c>
      <c r="N66" s="8">
        <f t="shared" si="4"/>
        <v>213215.625</v>
      </c>
      <c r="O66" s="8">
        <f t="shared" si="5"/>
        <v>6647.916666666667</v>
      </c>
      <c r="P66" s="11">
        <f t="shared" si="6"/>
        <v>4987.5</v>
      </c>
      <c r="Q66" s="8">
        <f t="shared" si="7"/>
        <v>22443.75</v>
      </c>
      <c r="R66" s="11">
        <f t="shared" si="8"/>
        <v>3900.1602564102564</v>
      </c>
      <c r="S66" s="8">
        <f t="shared" si="9"/>
        <v>38540.875</v>
      </c>
      <c r="T66" s="11">
        <f t="shared" si="10"/>
        <v>2992.5</v>
      </c>
      <c r="U66" s="11">
        <f t="shared" si="11"/>
        <v>3657.2916666666665</v>
      </c>
    </row>
    <row r="67" spans="2:21">
      <c r="B67" s="9">
        <v>9</v>
      </c>
      <c r="C67" s="9">
        <v>10</v>
      </c>
      <c r="D67" s="9">
        <v>225</v>
      </c>
      <c r="E67" s="10" t="s">
        <v>37</v>
      </c>
      <c r="F67" s="10" t="s">
        <v>19</v>
      </c>
      <c r="G67" s="10" t="s">
        <v>40</v>
      </c>
      <c r="H67" s="8">
        <f>[1]Pricing!E18</f>
        <v>850</v>
      </c>
      <c r="I67" s="8">
        <f t="shared" si="0"/>
        <v>191250</v>
      </c>
      <c r="J67" s="8">
        <f t="shared" si="1"/>
        <v>9562.5</v>
      </c>
      <c r="K67" s="8">
        <f t="shared" si="2"/>
        <v>200812.5</v>
      </c>
      <c r="L67" s="8">
        <v>5000</v>
      </c>
      <c r="M67" s="8">
        <f t="shared" si="3"/>
        <v>10040.625</v>
      </c>
      <c r="N67" s="8">
        <f t="shared" si="4"/>
        <v>190771.875</v>
      </c>
      <c r="O67" s="8">
        <f t="shared" si="5"/>
        <v>5860.416666666667</v>
      </c>
      <c r="P67" s="11">
        <f t="shared" si="6"/>
        <v>4462.5</v>
      </c>
      <c r="Q67" s="8">
        <f t="shared" si="7"/>
        <v>20081.25</v>
      </c>
      <c r="R67" s="11">
        <f t="shared" si="8"/>
        <v>3476.1217948717949</v>
      </c>
      <c r="S67" s="8">
        <f t="shared" si="9"/>
        <v>33957.625</v>
      </c>
      <c r="T67" s="11">
        <f t="shared" si="10"/>
        <v>2677.5</v>
      </c>
      <c r="U67" s="11">
        <f t="shared" si="11"/>
        <v>3263.5416666666665</v>
      </c>
    </row>
    <row r="68" spans="2:21">
      <c r="B68" s="9">
        <v>9</v>
      </c>
      <c r="C68" s="9">
        <v>11</v>
      </c>
      <c r="D68" s="9">
        <v>330</v>
      </c>
      <c r="E68" s="10" t="s">
        <v>37</v>
      </c>
      <c r="F68" s="10" t="s">
        <v>43</v>
      </c>
      <c r="G68" s="10" t="s">
        <v>40</v>
      </c>
      <c r="H68" s="8">
        <f>[1]Pricing!E23</f>
        <v>800</v>
      </c>
      <c r="I68" s="8">
        <f t="shared" si="0"/>
        <v>264000</v>
      </c>
      <c r="J68" s="8">
        <f t="shared" si="1"/>
        <v>13200</v>
      </c>
      <c r="K68" s="8">
        <f t="shared" si="2"/>
        <v>277200</v>
      </c>
      <c r="L68" s="8">
        <v>5000</v>
      </c>
      <c r="M68" s="8">
        <f t="shared" si="3"/>
        <v>13860</v>
      </c>
      <c r="N68" s="8">
        <f t="shared" si="4"/>
        <v>263340</v>
      </c>
      <c r="O68" s="8">
        <f t="shared" si="5"/>
        <v>8406.6666666666661</v>
      </c>
      <c r="P68" s="11">
        <f t="shared" si="6"/>
        <v>6160</v>
      </c>
      <c r="Q68" s="8">
        <f t="shared" si="7"/>
        <v>27720</v>
      </c>
      <c r="R68" s="11">
        <f t="shared" si="8"/>
        <v>4847.1794871794873</v>
      </c>
      <c r="S68" s="8">
        <f t="shared" si="9"/>
        <v>48776.799999999996</v>
      </c>
      <c r="T68" s="11">
        <f t="shared" si="10"/>
        <v>3696</v>
      </c>
      <c r="U68" s="11">
        <f t="shared" si="11"/>
        <v>4536.666666666667</v>
      </c>
    </row>
    <row r="69" spans="2:21">
      <c r="B69" s="9">
        <v>9</v>
      </c>
      <c r="C69" s="9">
        <v>12</v>
      </c>
      <c r="D69" s="9">
        <v>328</v>
      </c>
      <c r="E69" s="10" t="s">
        <v>35</v>
      </c>
      <c r="F69" s="10" t="s">
        <v>43</v>
      </c>
      <c r="G69" s="10" t="s">
        <v>40</v>
      </c>
      <c r="H69" s="8">
        <f>[1]Pricing!E13</f>
        <v>850</v>
      </c>
      <c r="I69" s="8">
        <f t="shared" si="0"/>
        <v>278800</v>
      </c>
      <c r="J69" s="8">
        <f t="shared" si="1"/>
        <v>13940</v>
      </c>
      <c r="K69" s="8">
        <f t="shared" si="2"/>
        <v>292740</v>
      </c>
      <c r="L69" s="8">
        <v>5000</v>
      </c>
      <c r="M69" s="8">
        <f t="shared" si="3"/>
        <v>14637</v>
      </c>
      <c r="N69" s="8">
        <f t="shared" si="4"/>
        <v>278103</v>
      </c>
      <c r="O69" s="8">
        <f t="shared" si="5"/>
        <v>8924.6666666666661</v>
      </c>
      <c r="P69" s="11">
        <f t="shared" si="6"/>
        <v>6505.333333333333</v>
      </c>
      <c r="Q69" s="8">
        <f t="shared" si="7"/>
        <v>29274</v>
      </c>
      <c r="R69" s="11">
        <f t="shared" si="8"/>
        <v>5126.1025641025644</v>
      </c>
      <c r="S69" s="8">
        <f t="shared" si="9"/>
        <v>51791.56</v>
      </c>
      <c r="T69" s="11">
        <f t="shared" si="10"/>
        <v>3903.2</v>
      </c>
      <c r="U69" s="11">
        <f t="shared" si="11"/>
        <v>4795.666666666667</v>
      </c>
    </row>
    <row r="70" spans="2:21">
      <c r="B70" s="9">
        <v>10</v>
      </c>
      <c r="C70" s="9">
        <v>1</v>
      </c>
      <c r="D70" s="9">
        <v>483</v>
      </c>
      <c r="E70" s="10" t="s">
        <v>35</v>
      </c>
      <c r="F70" s="10" t="s">
        <v>19</v>
      </c>
      <c r="G70" s="10" t="s">
        <v>40</v>
      </c>
      <c r="H70" s="8">
        <f>[1]Pricing!E8</f>
        <v>900</v>
      </c>
      <c r="I70" s="8">
        <f t="shared" si="0"/>
        <v>434700</v>
      </c>
      <c r="J70" s="8">
        <f t="shared" si="1"/>
        <v>21735</v>
      </c>
      <c r="K70" s="8">
        <f t="shared" si="2"/>
        <v>456435</v>
      </c>
      <c r="L70" s="8">
        <v>5000</v>
      </c>
      <c r="M70" s="8">
        <f t="shared" si="3"/>
        <v>22821.75</v>
      </c>
      <c r="N70" s="8">
        <f t="shared" si="4"/>
        <v>433613.25</v>
      </c>
      <c r="O70" s="8">
        <f t="shared" si="5"/>
        <v>14381.166666666666</v>
      </c>
      <c r="P70" s="11">
        <f t="shared" si="6"/>
        <v>10143</v>
      </c>
      <c r="Q70" s="8">
        <f t="shared" si="7"/>
        <v>45643.5</v>
      </c>
      <c r="R70" s="11">
        <f t="shared" si="8"/>
        <v>8064.2179487179483</v>
      </c>
      <c r="S70" s="8">
        <f t="shared" si="9"/>
        <v>83548.39</v>
      </c>
      <c r="T70" s="11">
        <f t="shared" si="10"/>
        <v>6085.8</v>
      </c>
      <c r="U70" s="11">
        <f t="shared" si="11"/>
        <v>7523.916666666667</v>
      </c>
    </row>
    <row r="71" spans="2:21">
      <c r="B71" s="9">
        <v>10</v>
      </c>
      <c r="C71" s="9">
        <v>2</v>
      </c>
      <c r="D71" s="9">
        <v>502</v>
      </c>
      <c r="E71" s="10" t="s">
        <v>35</v>
      </c>
      <c r="F71" s="10" t="s">
        <v>43</v>
      </c>
      <c r="G71" s="10" t="s">
        <v>40</v>
      </c>
      <c r="H71" s="8">
        <f>H69</f>
        <v>850</v>
      </c>
      <c r="I71" s="8">
        <f t="shared" si="0"/>
        <v>426700</v>
      </c>
      <c r="J71" s="8">
        <f t="shared" si="1"/>
        <v>21335</v>
      </c>
      <c r="K71" s="8">
        <f t="shared" si="2"/>
        <v>448035</v>
      </c>
      <c r="L71" s="8">
        <v>5000</v>
      </c>
      <c r="M71" s="8">
        <f t="shared" si="3"/>
        <v>22401.75</v>
      </c>
      <c r="N71" s="8">
        <f t="shared" si="4"/>
        <v>425633.25</v>
      </c>
      <c r="O71" s="8">
        <f t="shared" si="5"/>
        <v>14101.166666666666</v>
      </c>
      <c r="P71" s="11">
        <f t="shared" si="6"/>
        <v>9956.3333333333339</v>
      </c>
      <c r="Q71" s="8">
        <f t="shared" si="7"/>
        <v>44803.5</v>
      </c>
      <c r="R71" s="11">
        <f t="shared" si="8"/>
        <v>7913.4487179487178</v>
      </c>
      <c r="S71" s="8">
        <f t="shared" si="9"/>
        <v>81918.789999999994</v>
      </c>
      <c r="T71" s="11">
        <f t="shared" si="10"/>
        <v>5973.8</v>
      </c>
      <c r="U71" s="11">
        <f t="shared" si="11"/>
        <v>7383.916666666667</v>
      </c>
    </row>
    <row r="73" spans="2:21">
      <c r="B73" s="12" t="s">
        <v>44</v>
      </c>
    </row>
    <row r="74" spans="2:21">
      <c r="D74" s="2" t="s">
        <v>38</v>
      </c>
      <c r="E74" s="1" t="s">
        <v>45</v>
      </c>
    </row>
    <row r="75" spans="2:21">
      <c r="D75" s="2" t="s">
        <v>36</v>
      </c>
      <c r="E75" s="1" t="s">
        <v>46</v>
      </c>
    </row>
    <row r="76" spans="2:21">
      <c r="D76" s="2" t="s">
        <v>39</v>
      </c>
      <c r="E76" s="1" t="s">
        <v>47</v>
      </c>
    </row>
    <row r="77" spans="2:21">
      <c r="D77" s="2" t="s">
        <v>40</v>
      </c>
      <c r="E77" s="1" t="s">
        <v>48</v>
      </c>
    </row>
  </sheetData>
  <mergeCells count="22">
    <mergeCell ref="G5:G7"/>
    <mergeCell ref="B5:B7"/>
    <mergeCell ref="C5:C7"/>
    <mergeCell ref="D5:D7"/>
    <mergeCell ref="E5:E7"/>
    <mergeCell ref="F5:F7"/>
    <mergeCell ref="H5:H7"/>
    <mergeCell ref="I5:I7"/>
    <mergeCell ref="J5:J7"/>
    <mergeCell ref="K5:K7"/>
    <mergeCell ref="L5:L7"/>
    <mergeCell ref="O5:P5"/>
    <mergeCell ref="Q5:R5"/>
    <mergeCell ref="S5:T5"/>
    <mergeCell ref="M6:N6"/>
    <mergeCell ref="O6:O7"/>
    <mergeCell ref="P6:P7"/>
    <mergeCell ref="Q6:Q7"/>
    <mergeCell ref="R6:R7"/>
    <mergeCell ref="S6:S7"/>
    <mergeCell ref="T6:T7"/>
    <mergeCell ref="M5:N5"/>
  </mergeCell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-0.499984740745262"/>
  </sheetPr>
  <dimension ref="B2:M19"/>
  <sheetViews>
    <sheetView zoomScale="90" zoomScaleNormal="90" workbookViewId="0">
      <selection activeCell="G33" sqref="G33"/>
    </sheetView>
  </sheetViews>
  <sheetFormatPr defaultRowHeight="12"/>
  <cols>
    <col min="1" max="2" width="9.140625" style="77"/>
    <col min="3" max="3" width="11.42578125" style="77" customWidth="1"/>
    <col min="4" max="4" width="7.28515625" style="77" customWidth="1"/>
    <col min="5" max="5" width="9" style="77" customWidth="1"/>
    <col min="6" max="6" width="0.85546875" style="77" customWidth="1"/>
    <col min="7" max="7" width="9.140625" style="77"/>
    <col min="8" max="8" width="1.5703125" style="77" customWidth="1"/>
    <col min="9" max="9" width="13" style="77" customWidth="1"/>
    <col min="10" max="10" width="12.42578125" style="77" customWidth="1"/>
    <col min="11" max="11" width="13.5703125" style="77" customWidth="1"/>
    <col min="12" max="12" width="3.7109375" style="77" customWidth="1"/>
    <col min="13" max="13" width="12.5703125" style="76" customWidth="1"/>
    <col min="14" max="16384" width="9.140625" style="77"/>
  </cols>
  <sheetData>
    <row r="2" spans="2:13">
      <c r="B2" s="40"/>
      <c r="C2" s="437" t="s">
        <v>377</v>
      </c>
      <c r="D2" s="437"/>
      <c r="E2" s="437"/>
      <c r="F2" s="437"/>
      <c r="G2" s="437"/>
      <c r="H2" s="437"/>
      <c r="I2" s="437"/>
      <c r="J2" s="437"/>
      <c r="K2" s="437"/>
      <c r="L2" s="437"/>
    </row>
    <row r="3" spans="2:13">
      <c r="B3" s="40"/>
      <c r="C3" s="437" t="s">
        <v>378</v>
      </c>
      <c r="D3" s="437"/>
      <c r="E3" s="437"/>
      <c r="F3" s="437"/>
      <c r="G3" s="437"/>
      <c r="H3" s="437"/>
      <c r="I3" s="437"/>
      <c r="J3" s="437"/>
      <c r="K3" s="437"/>
      <c r="L3" s="437"/>
    </row>
    <row r="4" spans="2:13">
      <c r="B4" s="40"/>
      <c r="C4" s="437" t="s">
        <v>364</v>
      </c>
      <c r="D4" s="437"/>
      <c r="E4" s="437"/>
      <c r="F4" s="437"/>
      <c r="G4" s="437"/>
      <c r="H4" s="437"/>
      <c r="I4" s="437"/>
      <c r="J4" s="437"/>
      <c r="K4" s="437"/>
      <c r="L4" s="437"/>
    </row>
    <row r="5" spans="2:13">
      <c r="B5" s="28"/>
      <c r="C5" s="30"/>
      <c r="D5" s="30"/>
      <c r="E5" s="28"/>
      <c r="F5" s="28"/>
      <c r="G5" s="28"/>
      <c r="H5" s="28"/>
      <c r="I5" s="82"/>
      <c r="J5" s="355"/>
      <c r="K5" s="93"/>
      <c r="L5" s="82"/>
    </row>
    <row r="6" spans="2:13" ht="15" customHeight="1">
      <c r="B6" s="28"/>
      <c r="C6" s="438" t="s">
        <v>369</v>
      </c>
      <c r="D6" s="431" t="s">
        <v>17</v>
      </c>
      <c r="E6" s="439" t="s">
        <v>135</v>
      </c>
      <c r="F6" s="62"/>
      <c r="G6" s="425" t="s">
        <v>5</v>
      </c>
      <c r="H6" s="63"/>
      <c r="I6" s="427" t="s">
        <v>233</v>
      </c>
      <c r="J6" s="427"/>
      <c r="K6" s="156" t="s">
        <v>65</v>
      </c>
      <c r="L6" s="319"/>
      <c r="M6" s="434" t="s">
        <v>306</v>
      </c>
    </row>
    <row r="7" spans="2:13" ht="15" customHeight="1">
      <c r="B7" s="28"/>
      <c r="C7" s="438"/>
      <c r="D7" s="432"/>
      <c r="E7" s="439"/>
      <c r="F7" s="62"/>
      <c r="G7" s="425"/>
      <c r="H7" s="63"/>
      <c r="I7" s="379" t="s">
        <v>373</v>
      </c>
      <c r="J7" s="428" t="s">
        <v>374</v>
      </c>
      <c r="K7" s="430" t="s">
        <v>375</v>
      </c>
      <c r="L7" s="319"/>
      <c r="M7" s="435"/>
    </row>
    <row r="8" spans="2:13">
      <c r="B8" s="28"/>
      <c r="C8" s="438"/>
      <c r="D8" s="432"/>
      <c r="E8" s="439"/>
      <c r="F8" s="62"/>
      <c r="G8" s="425"/>
      <c r="H8" s="63"/>
      <c r="I8" s="380"/>
      <c r="J8" s="429"/>
      <c r="K8" s="429"/>
      <c r="L8" s="83"/>
      <c r="M8" s="435"/>
    </row>
    <row r="9" spans="2:13">
      <c r="B9" s="28"/>
      <c r="C9" s="431"/>
      <c r="D9" s="433"/>
      <c r="E9" s="440"/>
      <c r="F9" s="62"/>
      <c r="G9" s="426"/>
      <c r="H9" s="63"/>
      <c r="I9" s="380"/>
      <c r="J9" s="429"/>
      <c r="K9" s="429"/>
      <c r="L9" s="82"/>
      <c r="M9" s="436"/>
    </row>
    <row r="10" spans="2:13">
      <c r="B10" s="28"/>
      <c r="C10" s="151"/>
      <c r="D10" s="151"/>
      <c r="E10" s="158"/>
      <c r="F10" s="62"/>
      <c r="G10" s="348"/>
      <c r="H10" s="63"/>
      <c r="I10" s="273"/>
      <c r="J10" s="335"/>
      <c r="K10" s="335"/>
      <c r="L10" s="282"/>
      <c r="M10" s="249"/>
    </row>
    <row r="11" spans="2:13">
      <c r="B11" s="28"/>
      <c r="C11" s="357" t="s">
        <v>370</v>
      </c>
      <c r="D11" s="357">
        <v>155</v>
      </c>
      <c r="E11" s="205">
        <f>D11*5900</f>
        <v>914500</v>
      </c>
      <c r="F11" s="62"/>
      <c r="G11" s="153">
        <v>8000</v>
      </c>
      <c r="H11" s="63"/>
      <c r="I11" s="358">
        <f>(E11-G11)/60</f>
        <v>15108.333333333334</v>
      </c>
      <c r="J11" s="358">
        <f>(E11*0.5-G11)/59</f>
        <v>7614.406779661017</v>
      </c>
      <c r="K11" s="358">
        <f>E11*0.5</f>
        <v>457250</v>
      </c>
      <c r="L11" s="282"/>
      <c r="M11" s="249">
        <v>39770</v>
      </c>
    </row>
    <row r="12" spans="2:13">
      <c r="B12" s="28"/>
      <c r="C12" s="357" t="s">
        <v>371</v>
      </c>
      <c r="D12" s="357">
        <v>158</v>
      </c>
      <c r="E12" s="205">
        <f>D12*5900</f>
        <v>932200</v>
      </c>
      <c r="F12" s="62"/>
      <c r="G12" s="153">
        <v>8000</v>
      </c>
      <c r="H12" s="63"/>
      <c r="I12" s="358">
        <f>(E12-G12)/60</f>
        <v>15403.333333333334</v>
      </c>
      <c r="J12" s="358">
        <f>(E12*0.5-G12)/59</f>
        <v>7764.406779661017</v>
      </c>
      <c r="K12" s="358">
        <f>E12*0.5</f>
        <v>466100</v>
      </c>
      <c r="L12" s="282"/>
      <c r="M12" s="249">
        <v>40301</v>
      </c>
    </row>
    <row r="13" spans="2:13">
      <c r="B13" s="28"/>
      <c r="C13" s="354" t="s">
        <v>372</v>
      </c>
      <c r="D13" s="354">
        <v>57</v>
      </c>
      <c r="E13" s="201">
        <f>D13*5900</f>
        <v>336300</v>
      </c>
      <c r="F13" s="62"/>
      <c r="G13" s="154">
        <v>8000</v>
      </c>
      <c r="H13" s="63"/>
      <c r="I13" s="304">
        <f>(E13-G13)/60</f>
        <v>5471.666666666667</v>
      </c>
      <c r="J13" s="304">
        <f>(E13*0.5-G13)/59</f>
        <v>2714.406779661017</v>
      </c>
      <c r="K13" s="304">
        <f>E13*0.5</f>
        <v>168150</v>
      </c>
      <c r="L13" s="282"/>
      <c r="M13" s="250">
        <v>22424</v>
      </c>
    </row>
    <row r="14" spans="2:13">
      <c r="B14" s="28"/>
      <c r="C14" s="31"/>
      <c r="D14" s="31"/>
      <c r="E14" s="62"/>
      <c r="F14" s="62"/>
      <c r="G14" s="62"/>
      <c r="H14" s="62"/>
      <c r="I14" s="282"/>
      <c r="J14" s="282"/>
      <c r="K14" s="282"/>
      <c r="L14" s="282"/>
    </row>
    <row r="15" spans="2:13">
      <c r="C15" s="28" t="s">
        <v>304</v>
      </c>
      <c r="D15" s="28" t="s">
        <v>376</v>
      </c>
      <c r="E15" s="251"/>
      <c r="F15" s="375"/>
      <c r="G15" s="15"/>
      <c r="H15" s="15"/>
      <c r="I15" s="15"/>
    </row>
    <row r="16" spans="2:13">
      <c r="C16" s="14"/>
      <c r="D16" s="28" t="s">
        <v>307</v>
      </c>
      <c r="E16" s="251"/>
      <c r="F16" s="375"/>
      <c r="G16" s="15"/>
      <c r="H16" s="15"/>
      <c r="I16" s="15"/>
    </row>
    <row r="17" spans="3:9">
      <c r="C17" s="14"/>
      <c r="D17" s="28" t="s">
        <v>10</v>
      </c>
      <c r="E17" s="251"/>
      <c r="F17" s="375"/>
      <c r="G17" s="15"/>
      <c r="H17" s="15"/>
      <c r="I17" s="15"/>
    </row>
    <row r="18" spans="3:9">
      <c r="C18" s="14"/>
      <c r="D18" s="28" t="s">
        <v>11</v>
      </c>
      <c r="E18" s="251"/>
      <c r="F18" s="375"/>
      <c r="G18" s="15"/>
      <c r="H18" s="15"/>
      <c r="I18" s="15"/>
    </row>
    <row r="19" spans="3:9">
      <c r="C19" s="14"/>
      <c r="D19" s="28" t="s">
        <v>296</v>
      </c>
      <c r="E19" s="251"/>
      <c r="F19" s="375"/>
      <c r="G19" s="15"/>
      <c r="H19" s="15"/>
      <c r="I19" s="15"/>
    </row>
  </sheetData>
  <mergeCells count="12">
    <mergeCell ref="D6:D9"/>
    <mergeCell ref="M6:M9"/>
    <mergeCell ref="C2:L2"/>
    <mergeCell ref="C3:L3"/>
    <mergeCell ref="C4:L4"/>
    <mergeCell ref="C6:C9"/>
    <mergeCell ref="E6:E9"/>
    <mergeCell ref="G6:G9"/>
    <mergeCell ref="I6:J6"/>
    <mergeCell ref="I7:I9"/>
    <mergeCell ref="J7:J9"/>
    <mergeCell ref="K7:K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89999084444715716"/>
  </sheetPr>
  <dimension ref="B1:AB67"/>
  <sheetViews>
    <sheetView workbookViewId="0">
      <selection activeCell="H76" sqref="H76"/>
    </sheetView>
  </sheetViews>
  <sheetFormatPr defaultRowHeight="12"/>
  <cols>
    <col min="1" max="1" width="2.85546875" style="28" customWidth="1"/>
    <col min="2" max="2" width="10.140625" style="28" customWidth="1"/>
    <col min="3" max="3" width="8.28515625" style="60" hidden="1" customWidth="1"/>
    <col min="4" max="4" width="7.85546875" style="30" bestFit="1" customWidth="1"/>
    <col min="5" max="5" width="7.28515625" style="30" hidden="1" customWidth="1"/>
    <col min="6" max="7" width="12.42578125" style="30" hidden="1" customWidth="1"/>
    <col min="8" max="8" width="11.140625" style="33" customWidth="1"/>
    <col min="9" max="9" width="1.140625" style="61" customWidth="1"/>
    <col min="10" max="10" width="9.85546875" style="33" customWidth="1"/>
    <col min="11" max="11" width="1.7109375" style="61" customWidth="1"/>
    <col min="12" max="12" width="10" style="28" bestFit="1" customWidth="1"/>
    <col min="13" max="13" width="10.85546875" style="33" customWidth="1"/>
    <col min="14" max="14" width="10.28515625" style="33" customWidth="1"/>
    <col min="15" max="15" width="9.28515625" style="33" customWidth="1"/>
    <col min="16" max="16" width="1.140625" style="28" customWidth="1"/>
    <col min="17" max="17" width="10.42578125" style="33" bestFit="1" customWidth="1"/>
    <col min="18" max="18" width="0.85546875" style="28" customWidth="1"/>
    <col min="19" max="19" width="9.85546875" style="33" customWidth="1"/>
    <col min="20" max="20" width="9.140625" style="28"/>
    <col min="21" max="21" width="12.42578125" style="28" bestFit="1" customWidth="1"/>
    <col min="22" max="16384" width="9.140625" style="28"/>
  </cols>
  <sheetData>
    <row r="1" spans="2:28">
      <c r="D1" s="28"/>
      <c r="F1" s="28"/>
      <c r="G1" s="28"/>
      <c r="H1" s="30"/>
      <c r="I1" s="31"/>
      <c r="J1" s="30"/>
      <c r="K1" s="31"/>
      <c r="L1" s="30"/>
      <c r="M1" s="32"/>
      <c r="O1" s="32"/>
      <c r="P1" s="34"/>
      <c r="Q1" s="32"/>
      <c r="R1" s="32"/>
      <c r="T1" s="33"/>
      <c r="V1" s="33"/>
      <c r="X1" s="33"/>
      <c r="Z1" s="33"/>
      <c r="AA1" s="33"/>
    </row>
    <row r="2" spans="2:28" s="40" customFormat="1" ht="12" customHeight="1">
      <c r="B2" s="437" t="s">
        <v>58</v>
      </c>
      <c r="C2" s="437"/>
      <c r="D2" s="437"/>
      <c r="E2" s="437"/>
      <c r="F2" s="437"/>
      <c r="G2" s="437"/>
      <c r="H2" s="437"/>
      <c r="I2" s="35"/>
      <c r="J2" s="150"/>
      <c r="K2" s="35"/>
      <c r="L2" s="150"/>
      <c r="M2" s="36"/>
      <c r="N2" s="36"/>
      <c r="O2" s="36"/>
      <c r="P2" s="150"/>
      <c r="Q2" s="37"/>
      <c r="R2" s="38"/>
      <c r="S2" s="39"/>
      <c r="T2" s="38"/>
      <c r="U2" s="39"/>
      <c r="V2" s="39"/>
      <c r="X2" s="39"/>
      <c r="Y2" s="41"/>
      <c r="Z2" s="39"/>
      <c r="AA2" s="42"/>
      <c r="AB2" s="39"/>
    </row>
    <row r="3" spans="2:28" s="40" customFormat="1" ht="12" customHeight="1">
      <c r="B3" s="437" t="s">
        <v>59</v>
      </c>
      <c r="C3" s="437"/>
      <c r="D3" s="437"/>
      <c r="E3" s="437"/>
      <c r="F3" s="437"/>
      <c r="G3" s="437"/>
      <c r="H3" s="150"/>
      <c r="I3" s="35"/>
      <c r="J3" s="150"/>
      <c r="K3" s="35"/>
      <c r="L3" s="150"/>
      <c r="M3" s="36"/>
      <c r="N3" s="36"/>
      <c r="O3" s="36"/>
      <c r="P3" s="150"/>
      <c r="Q3" s="37"/>
      <c r="R3" s="38"/>
      <c r="S3" s="39"/>
      <c r="T3" s="38"/>
      <c r="U3" s="39"/>
      <c r="V3" s="39"/>
      <c r="X3" s="39"/>
      <c r="Y3" s="41"/>
      <c r="Z3" s="39"/>
      <c r="AA3" s="42"/>
      <c r="AB3" s="39"/>
    </row>
    <row r="4" spans="2:28" s="40" customFormat="1" ht="12" customHeight="1">
      <c r="B4" s="437" t="s">
        <v>247</v>
      </c>
      <c r="C4" s="437"/>
      <c r="D4" s="437"/>
      <c r="E4" s="437"/>
      <c r="F4" s="437"/>
      <c r="G4" s="437"/>
      <c r="H4" s="437"/>
      <c r="I4" s="35"/>
      <c r="J4" s="150"/>
      <c r="K4" s="35"/>
      <c r="L4" s="150"/>
      <c r="M4" s="36"/>
      <c r="N4" s="36"/>
      <c r="O4" s="36"/>
      <c r="P4" s="150"/>
      <c r="Q4" s="37"/>
      <c r="R4" s="38"/>
      <c r="S4" s="39"/>
      <c r="T4" s="38"/>
      <c r="U4" s="39"/>
      <c r="V4" s="39"/>
      <c r="X4" s="39"/>
      <c r="Y4" s="41"/>
      <c r="Z4" s="39"/>
      <c r="AA4" s="42"/>
      <c r="AB4" s="39"/>
    </row>
    <row r="5" spans="2:28" s="40" customFormat="1" ht="12" customHeight="1">
      <c r="B5" s="150"/>
      <c r="C5" s="150"/>
      <c r="D5" s="150"/>
      <c r="E5" s="150"/>
      <c r="F5" s="150"/>
      <c r="G5" s="150"/>
      <c r="H5" s="150"/>
      <c r="I5" s="35"/>
      <c r="J5" s="150"/>
      <c r="K5" s="35"/>
      <c r="L5" s="150"/>
      <c r="M5" s="36"/>
      <c r="N5" s="36"/>
      <c r="O5" s="36"/>
      <c r="P5" s="150"/>
      <c r="Q5" s="37"/>
      <c r="R5" s="38"/>
      <c r="S5" s="39"/>
      <c r="T5" s="38"/>
      <c r="U5" s="39"/>
      <c r="V5" s="39"/>
      <c r="X5" s="39"/>
      <c r="Y5" s="41"/>
      <c r="Z5" s="39"/>
      <c r="AA5" s="42"/>
      <c r="AB5" s="39"/>
    </row>
    <row r="6" spans="2:28" s="40" customFormat="1" ht="12" customHeight="1">
      <c r="B6" s="447" t="s">
        <v>60</v>
      </c>
      <c r="C6" s="450" t="s">
        <v>61</v>
      </c>
      <c r="D6" s="450" t="s">
        <v>62</v>
      </c>
      <c r="E6" s="450" t="s">
        <v>17</v>
      </c>
      <c r="F6" s="220"/>
      <c r="G6" s="220"/>
      <c r="H6" s="439" t="s">
        <v>63</v>
      </c>
      <c r="I6" s="43"/>
      <c r="J6" s="439" t="s">
        <v>5</v>
      </c>
      <c r="K6" s="43"/>
      <c r="L6" s="425" t="s">
        <v>64</v>
      </c>
      <c r="M6" s="425"/>
      <c r="N6" s="425"/>
      <c r="O6" s="425"/>
      <c r="P6" s="221"/>
      <c r="Q6" s="403" t="s">
        <v>65</v>
      </c>
      <c r="R6" s="221"/>
      <c r="S6" s="441" t="s">
        <v>306</v>
      </c>
      <c r="T6" s="38"/>
      <c r="U6" s="39"/>
      <c r="V6" s="39"/>
      <c r="X6" s="39"/>
      <c r="Y6" s="41"/>
      <c r="Z6" s="39"/>
      <c r="AA6" s="42"/>
      <c r="AB6" s="39"/>
    </row>
    <row r="7" spans="2:28" ht="12" customHeight="1">
      <c r="B7" s="448"/>
      <c r="C7" s="451"/>
      <c r="D7" s="451"/>
      <c r="E7" s="451"/>
      <c r="F7" s="444" t="s">
        <v>21</v>
      </c>
      <c r="G7" s="444" t="s">
        <v>21</v>
      </c>
      <c r="H7" s="439"/>
      <c r="I7" s="43"/>
      <c r="J7" s="439"/>
      <c r="K7" s="43"/>
      <c r="L7" s="403" t="s">
        <v>67</v>
      </c>
      <c r="M7" s="44">
        <v>1</v>
      </c>
      <c r="N7" s="445">
        <v>2</v>
      </c>
      <c r="O7" s="446"/>
      <c r="P7" s="221"/>
      <c r="Q7" s="403"/>
      <c r="R7" s="221"/>
      <c r="S7" s="443"/>
      <c r="T7" s="33"/>
      <c r="V7" s="33"/>
      <c r="X7" s="33"/>
      <c r="Z7" s="33"/>
      <c r="AA7" s="33"/>
    </row>
    <row r="8" spans="2:28" ht="12" customHeight="1">
      <c r="B8" s="448"/>
      <c r="C8" s="451"/>
      <c r="D8" s="451"/>
      <c r="E8" s="451"/>
      <c r="F8" s="444"/>
      <c r="G8" s="444"/>
      <c r="H8" s="439"/>
      <c r="I8" s="43"/>
      <c r="J8" s="439"/>
      <c r="K8" s="43"/>
      <c r="L8" s="403"/>
      <c r="M8" s="403" t="s">
        <v>68</v>
      </c>
      <c r="N8" s="403" t="s">
        <v>69</v>
      </c>
      <c r="O8" s="441" t="s">
        <v>70</v>
      </c>
      <c r="P8" s="215"/>
      <c r="Q8" s="403" t="s">
        <v>308</v>
      </c>
      <c r="R8" s="215"/>
      <c r="S8" s="443"/>
    </row>
    <row r="9" spans="2:28" ht="36" customHeight="1">
      <c r="B9" s="449"/>
      <c r="C9" s="452"/>
      <c r="D9" s="452"/>
      <c r="E9" s="452"/>
      <c r="F9" s="149"/>
      <c r="G9" s="149"/>
      <c r="H9" s="439"/>
      <c r="I9" s="43"/>
      <c r="J9" s="439"/>
      <c r="K9" s="43"/>
      <c r="L9" s="403"/>
      <c r="M9" s="403"/>
      <c r="N9" s="403"/>
      <c r="O9" s="442"/>
      <c r="Q9" s="403"/>
      <c r="S9" s="442"/>
    </row>
    <row r="10" spans="2:28" hidden="1">
      <c r="B10" s="46" t="s">
        <v>71</v>
      </c>
      <c r="C10" s="400" t="s">
        <v>72</v>
      </c>
      <c r="D10" s="47" t="s">
        <v>73</v>
      </c>
      <c r="E10" s="47">
        <v>28</v>
      </c>
      <c r="F10" s="47">
        <v>71785.71428571429</v>
      </c>
      <c r="G10" s="47">
        <v>76000</v>
      </c>
      <c r="H10" s="47">
        <f>E10*G10</f>
        <v>2128000</v>
      </c>
      <c r="I10" s="34"/>
      <c r="J10" s="47">
        <v>15000</v>
      </c>
      <c r="K10" s="34"/>
      <c r="L10" s="48">
        <f>H10*0.2-J10</f>
        <v>410600</v>
      </c>
      <c r="M10" s="46">
        <f>H10*0.2*0.98-J10</f>
        <v>402088</v>
      </c>
      <c r="N10" s="46">
        <f>H10*0.1-J10</f>
        <v>197800</v>
      </c>
      <c r="O10" s="46">
        <f>H10*0.1/6</f>
        <v>35466.666666666664</v>
      </c>
      <c r="Q10" s="46">
        <f t="shared" ref="Q10:Q42" si="0">PMT(15%/12,180,-H10*0.8)+S10/180</f>
        <v>24417.682220618713</v>
      </c>
      <c r="S10" s="46">
        <f>H10*0.05</f>
        <v>106400</v>
      </c>
    </row>
    <row r="11" spans="2:28" hidden="1">
      <c r="B11" s="46" t="s">
        <v>71</v>
      </c>
      <c r="C11" s="401"/>
      <c r="D11" s="47" t="s">
        <v>74</v>
      </c>
      <c r="E11" s="47">
        <v>28</v>
      </c>
      <c r="F11" s="47">
        <v>75928.571428571435</v>
      </c>
      <c r="G11" s="47">
        <v>75000</v>
      </c>
      <c r="H11" s="47">
        <f t="shared" ref="H11:H25" si="1">E11*G11</f>
        <v>2100000</v>
      </c>
      <c r="I11" s="34"/>
      <c r="J11" s="47">
        <v>15000</v>
      </c>
      <c r="K11" s="34"/>
      <c r="L11" s="48">
        <f t="shared" ref="L11:L59" si="2">H11*0.2-J11</f>
        <v>405000</v>
      </c>
      <c r="M11" s="46">
        <f t="shared" ref="M11:M59" si="3">H11*0.2*0.98-J11</f>
        <v>396600</v>
      </c>
      <c r="N11" s="46">
        <f t="shared" ref="N11:N59" si="4">H11*0.1-J11</f>
        <v>195000</v>
      </c>
      <c r="O11" s="46">
        <f t="shared" ref="O11:O59" si="5">H11*0.1/6</f>
        <v>35000</v>
      </c>
      <c r="Q11" s="46">
        <f t="shared" si="0"/>
        <v>24096.396928242149</v>
      </c>
      <c r="S11" s="46">
        <f t="shared" ref="S11:S59" si="6">H11*0.05</f>
        <v>105000</v>
      </c>
      <c r="U11" s="49"/>
    </row>
    <row r="12" spans="2:28" hidden="1">
      <c r="B12" s="46" t="s">
        <v>71</v>
      </c>
      <c r="C12" s="401"/>
      <c r="D12" s="47" t="s">
        <v>75</v>
      </c>
      <c r="E12" s="47">
        <v>28</v>
      </c>
      <c r="F12" s="47">
        <v>69000</v>
      </c>
      <c r="G12" s="47">
        <v>75000</v>
      </c>
      <c r="H12" s="47">
        <f t="shared" si="1"/>
        <v>2100000</v>
      </c>
      <c r="I12" s="34"/>
      <c r="J12" s="47">
        <v>15000</v>
      </c>
      <c r="K12" s="34"/>
      <c r="L12" s="48">
        <f t="shared" si="2"/>
        <v>405000</v>
      </c>
      <c r="M12" s="46">
        <f t="shared" si="3"/>
        <v>396600</v>
      </c>
      <c r="N12" s="46">
        <f t="shared" si="4"/>
        <v>195000</v>
      </c>
      <c r="O12" s="46">
        <f t="shared" si="5"/>
        <v>35000</v>
      </c>
      <c r="Q12" s="46">
        <f t="shared" si="0"/>
        <v>24096.396928242149</v>
      </c>
      <c r="S12" s="46">
        <f t="shared" si="6"/>
        <v>105000</v>
      </c>
    </row>
    <row r="13" spans="2:28" hidden="1">
      <c r="B13" s="46" t="s">
        <v>71</v>
      </c>
      <c r="C13" s="402"/>
      <c r="D13" s="47" t="s">
        <v>76</v>
      </c>
      <c r="E13" s="47">
        <v>28</v>
      </c>
      <c r="F13" s="47">
        <v>75928.571428571435</v>
      </c>
      <c r="G13" s="47">
        <v>76000</v>
      </c>
      <c r="H13" s="47">
        <f t="shared" si="1"/>
        <v>2128000</v>
      </c>
      <c r="I13" s="34"/>
      <c r="J13" s="47">
        <v>15000</v>
      </c>
      <c r="K13" s="34"/>
      <c r="L13" s="48">
        <f t="shared" si="2"/>
        <v>410600</v>
      </c>
      <c r="M13" s="46">
        <f t="shared" si="3"/>
        <v>402088</v>
      </c>
      <c r="N13" s="46">
        <f t="shared" si="4"/>
        <v>197800</v>
      </c>
      <c r="O13" s="46">
        <f t="shared" si="5"/>
        <v>35466.666666666664</v>
      </c>
      <c r="Q13" s="46">
        <f t="shared" si="0"/>
        <v>24417.682220618713</v>
      </c>
      <c r="S13" s="46">
        <f t="shared" si="6"/>
        <v>106400</v>
      </c>
    </row>
    <row r="14" spans="2:28" hidden="1">
      <c r="B14" s="46" t="s">
        <v>71</v>
      </c>
      <c r="C14" s="400" t="s">
        <v>77</v>
      </c>
      <c r="D14" s="47" t="s">
        <v>78</v>
      </c>
      <c r="E14" s="47">
        <v>20</v>
      </c>
      <c r="F14" s="47">
        <v>75500</v>
      </c>
      <c r="G14" s="47">
        <f>G10-2000</f>
        <v>74000</v>
      </c>
      <c r="H14" s="47">
        <f t="shared" si="1"/>
        <v>1480000</v>
      </c>
      <c r="I14" s="34"/>
      <c r="J14" s="47">
        <v>15000</v>
      </c>
      <c r="K14" s="34"/>
      <c r="L14" s="48">
        <f t="shared" si="2"/>
        <v>281000</v>
      </c>
      <c r="M14" s="46">
        <f t="shared" si="3"/>
        <v>275080</v>
      </c>
      <c r="N14" s="46">
        <f t="shared" si="4"/>
        <v>133000</v>
      </c>
      <c r="O14" s="46">
        <f t="shared" si="5"/>
        <v>24666.666666666668</v>
      </c>
      <c r="Q14" s="46">
        <f t="shared" si="0"/>
        <v>16982.22259704685</v>
      </c>
      <c r="S14" s="46">
        <f t="shared" si="6"/>
        <v>74000</v>
      </c>
    </row>
    <row r="15" spans="2:28" hidden="1">
      <c r="B15" s="46" t="s">
        <v>71</v>
      </c>
      <c r="C15" s="401"/>
      <c r="D15" s="47" t="s">
        <v>79</v>
      </c>
      <c r="E15" s="47">
        <v>20</v>
      </c>
      <c r="F15" s="47">
        <v>65500</v>
      </c>
      <c r="G15" s="47">
        <f t="shared" ref="G15:G17" si="7">G11-2000</f>
        <v>73000</v>
      </c>
      <c r="H15" s="47">
        <f t="shared" si="1"/>
        <v>1460000</v>
      </c>
      <c r="I15" s="34"/>
      <c r="J15" s="47">
        <v>15000</v>
      </c>
      <c r="K15" s="34"/>
      <c r="L15" s="48">
        <f t="shared" si="2"/>
        <v>277000</v>
      </c>
      <c r="M15" s="46">
        <f t="shared" si="3"/>
        <v>271160</v>
      </c>
      <c r="N15" s="46">
        <f t="shared" si="4"/>
        <v>131000</v>
      </c>
      <c r="O15" s="46">
        <f t="shared" si="5"/>
        <v>24333.333333333332</v>
      </c>
      <c r="Q15" s="46">
        <f t="shared" si="0"/>
        <v>16752.733102492162</v>
      </c>
      <c r="S15" s="46">
        <f t="shared" si="6"/>
        <v>73000</v>
      </c>
      <c r="U15" s="50"/>
    </row>
    <row r="16" spans="2:28" hidden="1">
      <c r="B16" s="46" t="s">
        <v>71</v>
      </c>
      <c r="C16" s="401"/>
      <c r="D16" s="47" t="s">
        <v>80</v>
      </c>
      <c r="E16" s="47">
        <v>20</v>
      </c>
      <c r="F16" s="47">
        <v>65500</v>
      </c>
      <c r="G16" s="47">
        <f t="shared" si="7"/>
        <v>73000</v>
      </c>
      <c r="H16" s="47">
        <f t="shared" si="1"/>
        <v>1460000</v>
      </c>
      <c r="I16" s="34"/>
      <c r="J16" s="47">
        <v>15000</v>
      </c>
      <c r="K16" s="34"/>
      <c r="L16" s="48">
        <f t="shared" si="2"/>
        <v>277000</v>
      </c>
      <c r="M16" s="46">
        <f t="shared" si="3"/>
        <v>271160</v>
      </c>
      <c r="N16" s="46">
        <f t="shared" si="4"/>
        <v>131000</v>
      </c>
      <c r="O16" s="46">
        <f t="shared" si="5"/>
        <v>24333.333333333332</v>
      </c>
      <c r="Q16" s="46">
        <f t="shared" si="0"/>
        <v>16752.733102492162</v>
      </c>
      <c r="S16" s="46">
        <f t="shared" si="6"/>
        <v>73000</v>
      </c>
    </row>
    <row r="17" spans="2:19" hidden="1">
      <c r="B17" s="46" t="s">
        <v>71</v>
      </c>
      <c r="C17" s="402"/>
      <c r="D17" s="47" t="s">
        <v>81</v>
      </c>
      <c r="E17" s="47">
        <v>20</v>
      </c>
      <c r="F17" s="47">
        <v>65500</v>
      </c>
      <c r="G17" s="47">
        <f t="shared" si="7"/>
        <v>74000</v>
      </c>
      <c r="H17" s="47">
        <f t="shared" si="1"/>
        <v>1480000</v>
      </c>
      <c r="I17" s="34"/>
      <c r="J17" s="47">
        <v>15000</v>
      </c>
      <c r="K17" s="34"/>
      <c r="L17" s="48">
        <f t="shared" si="2"/>
        <v>281000</v>
      </c>
      <c r="M17" s="46">
        <f t="shared" si="3"/>
        <v>275080</v>
      </c>
      <c r="N17" s="46">
        <f t="shared" si="4"/>
        <v>133000</v>
      </c>
      <c r="O17" s="46">
        <f t="shared" si="5"/>
        <v>24666.666666666668</v>
      </c>
      <c r="Q17" s="46">
        <f t="shared" si="0"/>
        <v>16982.22259704685</v>
      </c>
      <c r="S17" s="46">
        <f t="shared" si="6"/>
        <v>74000</v>
      </c>
    </row>
    <row r="18" spans="2:19" hidden="1">
      <c r="B18" s="46" t="s">
        <v>71</v>
      </c>
      <c r="C18" s="400" t="s">
        <v>82</v>
      </c>
      <c r="D18" s="47" t="s">
        <v>83</v>
      </c>
      <c r="E18" s="47">
        <v>20</v>
      </c>
      <c r="F18" s="47">
        <v>64500</v>
      </c>
      <c r="G18" s="47">
        <f>G14-2000</f>
        <v>72000</v>
      </c>
      <c r="H18" s="47">
        <f t="shared" si="1"/>
        <v>1440000</v>
      </c>
      <c r="I18" s="34"/>
      <c r="J18" s="47">
        <v>15000</v>
      </c>
      <c r="K18" s="34"/>
      <c r="L18" s="48">
        <f t="shared" si="2"/>
        <v>273000</v>
      </c>
      <c r="M18" s="46">
        <f t="shared" si="3"/>
        <v>267240</v>
      </c>
      <c r="N18" s="46">
        <f t="shared" si="4"/>
        <v>129000</v>
      </c>
      <c r="O18" s="46">
        <f t="shared" si="5"/>
        <v>24000</v>
      </c>
      <c r="Q18" s="46">
        <f t="shared" si="0"/>
        <v>16523.243607937475</v>
      </c>
      <c r="S18" s="46">
        <f t="shared" si="6"/>
        <v>72000</v>
      </c>
    </row>
    <row r="19" spans="2:19" hidden="1">
      <c r="B19" s="46" t="s">
        <v>71</v>
      </c>
      <c r="C19" s="401"/>
      <c r="D19" s="47" t="s">
        <v>84</v>
      </c>
      <c r="E19" s="47">
        <v>20</v>
      </c>
      <c r="F19" s="47">
        <v>72265</v>
      </c>
      <c r="G19" s="47">
        <f t="shared" ref="G19:G21" si="8">G15-2000</f>
        <v>71000</v>
      </c>
      <c r="H19" s="47">
        <f t="shared" si="1"/>
        <v>1420000</v>
      </c>
      <c r="I19" s="34"/>
      <c r="J19" s="47">
        <v>15000</v>
      </c>
      <c r="K19" s="34"/>
      <c r="L19" s="48">
        <f t="shared" si="2"/>
        <v>269000</v>
      </c>
      <c r="M19" s="46">
        <f t="shared" si="3"/>
        <v>263320</v>
      </c>
      <c r="N19" s="46">
        <f t="shared" si="4"/>
        <v>127000</v>
      </c>
      <c r="O19" s="46">
        <f t="shared" si="5"/>
        <v>23666.666666666668</v>
      </c>
      <c r="Q19" s="46">
        <f t="shared" si="0"/>
        <v>16293.754113382791</v>
      </c>
      <c r="S19" s="46">
        <f t="shared" si="6"/>
        <v>71000</v>
      </c>
    </row>
    <row r="20" spans="2:19" hidden="1">
      <c r="B20" s="46" t="s">
        <v>71</v>
      </c>
      <c r="C20" s="401"/>
      <c r="D20" s="47" t="s">
        <v>85</v>
      </c>
      <c r="E20" s="47">
        <v>20</v>
      </c>
      <c r="F20" s="47">
        <v>62500</v>
      </c>
      <c r="G20" s="47">
        <f t="shared" si="8"/>
        <v>71000</v>
      </c>
      <c r="H20" s="47">
        <f t="shared" si="1"/>
        <v>1420000</v>
      </c>
      <c r="I20" s="34"/>
      <c r="J20" s="47">
        <v>15000</v>
      </c>
      <c r="K20" s="34"/>
      <c r="L20" s="48">
        <f t="shared" si="2"/>
        <v>269000</v>
      </c>
      <c r="M20" s="46">
        <f t="shared" si="3"/>
        <v>263320</v>
      </c>
      <c r="N20" s="46">
        <f t="shared" si="4"/>
        <v>127000</v>
      </c>
      <c r="O20" s="46">
        <f t="shared" si="5"/>
        <v>23666.666666666668</v>
      </c>
      <c r="Q20" s="46">
        <f t="shared" si="0"/>
        <v>16293.754113382791</v>
      </c>
      <c r="S20" s="46">
        <f t="shared" si="6"/>
        <v>71000</v>
      </c>
    </row>
    <row r="21" spans="2:19" hidden="1">
      <c r="B21" s="46" t="s">
        <v>71</v>
      </c>
      <c r="C21" s="402"/>
      <c r="D21" s="47" t="s">
        <v>86</v>
      </c>
      <c r="E21" s="47">
        <v>20</v>
      </c>
      <c r="F21" s="47">
        <v>106299.99997999999</v>
      </c>
      <c r="G21" s="47">
        <f t="shared" si="8"/>
        <v>72000</v>
      </c>
      <c r="H21" s="47">
        <f t="shared" si="1"/>
        <v>1440000</v>
      </c>
      <c r="I21" s="34"/>
      <c r="J21" s="47">
        <v>15000</v>
      </c>
      <c r="K21" s="34"/>
      <c r="L21" s="48">
        <f t="shared" si="2"/>
        <v>273000</v>
      </c>
      <c r="M21" s="46">
        <f t="shared" si="3"/>
        <v>267240</v>
      </c>
      <c r="N21" s="46">
        <f t="shared" si="4"/>
        <v>129000</v>
      </c>
      <c r="O21" s="46">
        <f t="shared" si="5"/>
        <v>24000</v>
      </c>
      <c r="Q21" s="46">
        <f t="shared" si="0"/>
        <v>16523.243607937475</v>
      </c>
      <c r="S21" s="46">
        <f t="shared" si="6"/>
        <v>72000</v>
      </c>
    </row>
    <row r="22" spans="2:19" hidden="1">
      <c r="B22" s="46" t="s">
        <v>71</v>
      </c>
      <c r="C22" s="400" t="s">
        <v>87</v>
      </c>
      <c r="D22" s="47" t="s">
        <v>88</v>
      </c>
      <c r="E22" s="47">
        <v>20</v>
      </c>
      <c r="F22" s="47">
        <v>57500</v>
      </c>
      <c r="G22" s="47">
        <f>G18-2000</f>
        <v>70000</v>
      </c>
      <c r="H22" s="47">
        <f t="shared" si="1"/>
        <v>1400000</v>
      </c>
      <c r="I22" s="34"/>
      <c r="J22" s="47">
        <v>15000</v>
      </c>
      <c r="K22" s="34"/>
      <c r="L22" s="48">
        <f t="shared" si="2"/>
        <v>265000</v>
      </c>
      <c r="M22" s="46">
        <f t="shared" si="3"/>
        <v>259400</v>
      </c>
      <c r="N22" s="46">
        <f t="shared" si="4"/>
        <v>125000</v>
      </c>
      <c r="O22" s="46">
        <f t="shared" si="5"/>
        <v>23333.333333333332</v>
      </c>
      <c r="Q22" s="46">
        <f t="shared" si="0"/>
        <v>16064.264618828101</v>
      </c>
      <c r="S22" s="46">
        <f t="shared" si="6"/>
        <v>70000</v>
      </c>
    </row>
    <row r="23" spans="2:19" hidden="1">
      <c r="B23" s="46" t="s">
        <v>71</v>
      </c>
      <c r="C23" s="401"/>
      <c r="D23" s="47" t="s">
        <v>89</v>
      </c>
      <c r="E23" s="47">
        <v>20</v>
      </c>
      <c r="F23" s="47">
        <v>55076</v>
      </c>
      <c r="G23" s="47">
        <f t="shared" ref="G23:G25" si="9">G19-2000</f>
        <v>69000</v>
      </c>
      <c r="H23" s="47">
        <f t="shared" si="1"/>
        <v>1380000</v>
      </c>
      <c r="I23" s="34"/>
      <c r="J23" s="47">
        <v>15000</v>
      </c>
      <c r="K23" s="34"/>
      <c r="L23" s="48">
        <f t="shared" si="2"/>
        <v>261000</v>
      </c>
      <c r="M23" s="46">
        <f t="shared" si="3"/>
        <v>255480</v>
      </c>
      <c r="N23" s="46">
        <f t="shared" si="4"/>
        <v>123000</v>
      </c>
      <c r="O23" s="46">
        <f t="shared" si="5"/>
        <v>23000</v>
      </c>
      <c r="Q23" s="46">
        <f t="shared" si="0"/>
        <v>15834.775124273416</v>
      </c>
      <c r="S23" s="46">
        <f t="shared" si="6"/>
        <v>69000</v>
      </c>
    </row>
    <row r="24" spans="2:19" hidden="1">
      <c r="B24" s="46" t="s">
        <v>71</v>
      </c>
      <c r="C24" s="401"/>
      <c r="D24" s="47" t="s">
        <v>90</v>
      </c>
      <c r="E24" s="47">
        <v>20</v>
      </c>
      <c r="F24" s="47">
        <v>62500</v>
      </c>
      <c r="G24" s="47">
        <f t="shared" si="9"/>
        <v>69000</v>
      </c>
      <c r="H24" s="47">
        <f t="shared" si="1"/>
        <v>1380000</v>
      </c>
      <c r="I24" s="34"/>
      <c r="J24" s="47">
        <v>15000</v>
      </c>
      <c r="K24" s="34"/>
      <c r="L24" s="48">
        <f t="shared" si="2"/>
        <v>261000</v>
      </c>
      <c r="M24" s="46">
        <f t="shared" si="3"/>
        <v>255480</v>
      </c>
      <c r="N24" s="46">
        <f t="shared" si="4"/>
        <v>123000</v>
      </c>
      <c r="O24" s="46">
        <f t="shared" si="5"/>
        <v>23000</v>
      </c>
      <c r="Q24" s="46">
        <f t="shared" si="0"/>
        <v>15834.775124273416</v>
      </c>
      <c r="S24" s="46">
        <f t="shared" si="6"/>
        <v>69000</v>
      </c>
    </row>
    <row r="25" spans="2:19" hidden="1">
      <c r="B25" s="46" t="s">
        <v>71</v>
      </c>
      <c r="C25" s="402"/>
      <c r="D25" s="47" t="s">
        <v>91</v>
      </c>
      <c r="E25" s="47">
        <v>20</v>
      </c>
      <c r="F25" s="47">
        <v>62500</v>
      </c>
      <c r="G25" s="47">
        <f t="shared" si="9"/>
        <v>70000</v>
      </c>
      <c r="H25" s="47">
        <f t="shared" si="1"/>
        <v>1400000</v>
      </c>
      <c r="I25" s="34"/>
      <c r="J25" s="47">
        <v>15000</v>
      </c>
      <c r="K25" s="34"/>
      <c r="L25" s="48">
        <f t="shared" si="2"/>
        <v>265000</v>
      </c>
      <c r="M25" s="46">
        <f t="shared" si="3"/>
        <v>259400</v>
      </c>
      <c r="N25" s="46">
        <f t="shared" si="4"/>
        <v>125000</v>
      </c>
      <c r="O25" s="46">
        <f t="shared" si="5"/>
        <v>23333.333333333332</v>
      </c>
      <c r="Q25" s="46">
        <f t="shared" si="0"/>
        <v>16064.264618828101</v>
      </c>
      <c r="S25" s="46">
        <f t="shared" si="6"/>
        <v>70000</v>
      </c>
    </row>
    <row r="26" spans="2:19" hidden="1">
      <c r="B26" s="51"/>
      <c r="C26" s="52"/>
      <c r="D26" s="53"/>
      <c r="E26" s="47"/>
      <c r="F26" s="47"/>
      <c r="G26" s="47"/>
      <c r="H26" s="47"/>
      <c r="I26" s="34"/>
      <c r="J26" s="47"/>
      <c r="K26" s="34"/>
      <c r="L26" s="48">
        <f t="shared" si="2"/>
        <v>0</v>
      </c>
      <c r="M26" s="46">
        <f t="shared" si="3"/>
        <v>0</v>
      </c>
      <c r="N26" s="46">
        <f t="shared" si="4"/>
        <v>0</v>
      </c>
      <c r="O26" s="46">
        <f t="shared" si="5"/>
        <v>0</v>
      </c>
      <c r="Q26" s="46">
        <f t="shared" si="0"/>
        <v>0</v>
      </c>
      <c r="S26" s="46">
        <f t="shared" si="6"/>
        <v>0</v>
      </c>
    </row>
    <row r="27" spans="2:19" hidden="1">
      <c r="B27" s="54" t="s">
        <v>92</v>
      </c>
      <c r="C27" s="400" t="s">
        <v>72</v>
      </c>
      <c r="D27" s="55" t="s">
        <v>93</v>
      </c>
      <c r="E27" s="47">
        <v>36</v>
      </c>
      <c r="F27" s="47">
        <v>64305.555555555555</v>
      </c>
      <c r="G27" s="47">
        <v>78000</v>
      </c>
      <c r="H27" s="47">
        <f>E27*G27</f>
        <v>2808000</v>
      </c>
      <c r="I27" s="34"/>
      <c r="J27" s="47">
        <v>15000</v>
      </c>
      <c r="K27" s="34"/>
      <c r="L27" s="48">
        <f t="shared" si="2"/>
        <v>546600</v>
      </c>
      <c r="M27" s="46">
        <f t="shared" si="3"/>
        <v>535368</v>
      </c>
      <c r="N27" s="46">
        <f t="shared" si="4"/>
        <v>265800</v>
      </c>
      <c r="O27" s="46">
        <f t="shared" si="5"/>
        <v>46800</v>
      </c>
      <c r="Q27" s="46">
        <f t="shared" si="0"/>
        <v>32220.325035478079</v>
      </c>
      <c r="S27" s="46">
        <f t="shared" si="6"/>
        <v>140400</v>
      </c>
    </row>
    <row r="28" spans="2:19" hidden="1">
      <c r="B28" s="54" t="s">
        <v>92</v>
      </c>
      <c r="C28" s="401"/>
      <c r="D28" s="55" t="s">
        <v>94</v>
      </c>
      <c r="E28" s="47">
        <v>36</v>
      </c>
      <c r="F28" s="47">
        <v>67305.555559999993</v>
      </c>
      <c r="G28" s="47">
        <v>77000</v>
      </c>
      <c r="H28" s="47">
        <f t="shared" ref="H28:H59" si="10">E28*G28</f>
        <v>2772000</v>
      </c>
      <c r="I28" s="34"/>
      <c r="J28" s="47">
        <v>15000</v>
      </c>
      <c r="K28" s="34"/>
      <c r="L28" s="48">
        <f t="shared" si="2"/>
        <v>539400</v>
      </c>
      <c r="M28" s="46">
        <f t="shared" si="3"/>
        <v>528312</v>
      </c>
      <c r="N28" s="46">
        <f t="shared" si="4"/>
        <v>262200</v>
      </c>
      <c r="O28" s="46">
        <f t="shared" si="5"/>
        <v>46200</v>
      </c>
      <c r="Q28" s="46">
        <f t="shared" si="0"/>
        <v>31807.243945279639</v>
      </c>
      <c r="S28" s="46">
        <f t="shared" si="6"/>
        <v>138600</v>
      </c>
    </row>
    <row r="29" spans="2:19" hidden="1">
      <c r="B29" s="54" t="s">
        <v>92</v>
      </c>
      <c r="C29" s="401"/>
      <c r="D29" s="55" t="s">
        <v>95</v>
      </c>
      <c r="E29" s="47">
        <v>36</v>
      </c>
      <c r="F29" s="47">
        <v>67305.555555555562</v>
      </c>
      <c r="G29" s="47">
        <v>77000</v>
      </c>
      <c r="H29" s="47">
        <f t="shared" si="10"/>
        <v>2772000</v>
      </c>
      <c r="I29" s="34"/>
      <c r="J29" s="47">
        <v>15000</v>
      </c>
      <c r="K29" s="34"/>
      <c r="L29" s="48">
        <f t="shared" si="2"/>
        <v>539400</v>
      </c>
      <c r="M29" s="46">
        <f t="shared" si="3"/>
        <v>528312</v>
      </c>
      <c r="N29" s="46">
        <f t="shared" si="4"/>
        <v>262200</v>
      </c>
      <c r="O29" s="46">
        <f t="shared" si="5"/>
        <v>46200</v>
      </c>
      <c r="Q29" s="46">
        <f t="shared" si="0"/>
        <v>31807.243945279639</v>
      </c>
      <c r="S29" s="46">
        <f t="shared" si="6"/>
        <v>138600</v>
      </c>
    </row>
    <row r="30" spans="2:19" hidden="1">
      <c r="B30" s="54" t="s">
        <v>92</v>
      </c>
      <c r="C30" s="402"/>
      <c r="D30" s="55" t="s">
        <v>96</v>
      </c>
      <c r="E30" s="47">
        <v>36</v>
      </c>
      <c r="F30" s="47">
        <v>62376.388888888891</v>
      </c>
      <c r="G30" s="47">
        <v>78000</v>
      </c>
      <c r="H30" s="47">
        <f t="shared" si="10"/>
        <v>2808000</v>
      </c>
      <c r="I30" s="34"/>
      <c r="J30" s="47">
        <v>15000</v>
      </c>
      <c r="K30" s="34"/>
      <c r="L30" s="48">
        <f t="shared" si="2"/>
        <v>546600</v>
      </c>
      <c r="M30" s="46">
        <f t="shared" si="3"/>
        <v>535368</v>
      </c>
      <c r="N30" s="46">
        <f t="shared" si="4"/>
        <v>265800</v>
      </c>
      <c r="O30" s="46">
        <f t="shared" si="5"/>
        <v>46800</v>
      </c>
      <c r="Q30" s="46">
        <f t="shared" si="0"/>
        <v>32220.325035478079</v>
      </c>
      <c r="S30" s="46">
        <f t="shared" si="6"/>
        <v>140400</v>
      </c>
    </row>
    <row r="31" spans="2:19" hidden="1">
      <c r="B31" s="54" t="s">
        <v>92</v>
      </c>
      <c r="C31" s="400" t="s">
        <v>77</v>
      </c>
      <c r="D31" s="55" t="s">
        <v>97</v>
      </c>
      <c r="E31" s="47">
        <v>36</v>
      </c>
      <c r="F31" s="47">
        <v>66305.555555555562</v>
      </c>
      <c r="G31" s="47">
        <f>G27-2000</f>
        <v>76000</v>
      </c>
      <c r="H31" s="47">
        <f t="shared" si="10"/>
        <v>2736000</v>
      </c>
      <c r="I31" s="34"/>
      <c r="J31" s="47">
        <v>15000</v>
      </c>
      <c r="K31" s="34"/>
      <c r="L31" s="48">
        <f t="shared" si="2"/>
        <v>532200</v>
      </c>
      <c r="M31" s="46">
        <f t="shared" si="3"/>
        <v>521256</v>
      </c>
      <c r="N31" s="46">
        <f t="shared" si="4"/>
        <v>258600</v>
      </c>
      <c r="O31" s="46">
        <f t="shared" si="5"/>
        <v>45600</v>
      </c>
      <c r="Q31" s="46">
        <f t="shared" si="0"/>
        <v>31394.162855081206</v>
      </c>
      <c r="S31" s="46">
        <f t="shared" si="6"/>
        <v>136800</v>
      </c>
    </row>
    <row r="32" spans="2:19" hidden="1">
      <c r="B32" s="54" t="s">
        <v>92</v>
      </c>
      <c r="C32" s="401"/>
      <c r="D32" s="55" t="s">
        <v>98</v>
      </c>
      <c r="E32" s="47">
        <v>36</v>
      </c>
      <c r="F32" s="47">
        <v>66305.555555555562</v>
      </c>
      <c r="G32" s="47">
        <f t="shared" ref="G32:G34" si="11">G28-2000</f>
        <v>75000</v>
      </c>
      <c r="H32" s="47">
        <f t="shared" si="10"/>
        <v>2700000</v>
      </c>
      <c r="I32" s="34"/>
      <c r="J32" s="47">
        <v>15000</v>
      </c>
      <c r="K32" s="34"/>
      <c r="L32" s="48">
        <f t="shared" si="2"/>
        <v>525000</v>
      </c>
      <c r="M32" s="46">
        <f t="shared" si="3"/>
        <v>514200</v>
      </c>
      <c r="N32" s="46">
        <f t="shared" si="4"/>
        <v>255000</v>
      </c>
      <c r="O32" s="46">
        <f t="shared" si="5"/>
        <v>45000</v>
      </c>
      <c r="Q32" s="46">
        <f t="shared" si="0"/>
        <v>30981.081764882765</v>
      </c>
      <c r="S32" s="46">
        <f t="shared" si="6"/>
        <v>135000</v>
      </c>
    </row>
    <row r="33" spans="2:19" hidden="1">
      <c r="B33" s="54" t="s">
        <v>92</v>
      </c>
      <c r="C33" s="401"/>
      <c r="D33" s="55" t="s">
        <v>99</v>
      </c>
      <c r="E33" s="47">
        <v>36</v>
      </c>
      <c r="F33" s="47">
        <v>66305.555555555562</v>
      </c>
      <c r="G33" s="47">
        <f t="shared" si="11"/>
        <v>75000</v>
      </c>
      <c r="H33" s="47">
        <f t="shared" si="10"/>
        <v>2700000</v>
      </c>
      <c r="I33" s="34"/>
      <c r="J33" s="47">
        <v>15000</v>
      </c>
      <c r="K33" s="34"/>
      <c r="L33" s="48">
        <f t="shared" si="2"/>
        <v>525000</v>
      </c>
      <c r="M33" s="46">
        <f t="shared" si="3"/>
        <v>514200</v>
      </c>
      <c r="N33" s="46">
        <f t="shared" si="4"/>
        <v>255000</v>
      </c>
      <c r="O33" s="46">
        <f t="shared" si="5"/>
        <v>45000</v>
      </c>
      <c r="Q33" s="46">
        <f t="shared" si="0"/>
        <v>30981.081764882765</v>
      </c>
      <c r="S33" s="46">
        <f t="shared" si="6"/>
        <v>135000</v>
      </c>
    </row>
    <row r="34" spans="2:19" hidden="1">
      <c r="B34" s="54" t="s">
        <v>92</v>
      </c>
      <c r="C34" s="402"/>
      <c r="D34" s="55" t="s">
        <v>100</v>
      </c>
      <c r="E34" s="47">
        <v>36</v>
      </c>
      <c r="F34" s="47">
        <v>63222.222222222219</v>
      </c>
      <c r="G34" s="47">
        <f t="shared" si="11"/>
        <v>76000</v>
      </c>
      <c r="H34" s="47">
        <f t="shared" si="10"/>
        <v>2736000</v>
      </c>
      <c r="I34" s="34"/>
      <c r="J34" s="47">
        <v>15000</v>
      </c>
      <c r="K34" s="34"/>
      <c r="L34" s="48">
        <f t="shared" si="2"/>
        <v>532200</v>
      </c>
      <c r="M34" s="46">
        <f t="shared" si="3"/>
        <v>521256</v>
      </c>
      <c r="N34" s="46">
        <f t="shared" si="4"/>
        <v>258600</v>
      </c>
      <c r="O34" s="46">
        <f t="shared" si="5"/>
        <v>45600</v>
      </c>
      <c r="Q34" s="46">
        <f t="shared" si="0"/>
        <v>31394.162855081206</v>
      </c>
      <c r="S34" s="46">
        <f t="shared" si="6"/>
        <v>136800</v>
      </c>
    </row>
    <row r="35" spans="2:19" hidden="1">
      <c r="B35" s="54" t="s">
        <v>92</v>
      </c>
      <c r="C35" s="400" t="s">
        <v>82</v>
      </c>
      <c r="D35" s="55" t="s">
        <v>101</v>
      </c>
      <c r="E35" s="47">
        <v>36</v>
      </c>
      <c r="F35" s="47">
        <v>65305.555555555555</v>
      </c>
      <c r="G35" s="47">
        <f>G31-2000</f>
        <v>74000</v>
      </c>
      <c r="H35" s="47">
        <f t="shared" si="10"/>
        <v>2664000</v>
      </c>
      <c r="I35" s="34"/>
      <c r="J35" s="47">
        <v>15000</v>
      </c>
      <c r="K35" s="34"/>
      <c r="L35" s="48">
        <f t="shared" si="2"/>
        <v>517800</v>
      </c>
      <c r="M35" s="46">
        <f t="shared" si="3"/>
        <v>507144</v>
      </c>
      <c r="N35" s="46">
        <f t="shared" si="4"/>
        <v>251400</v>
      </c>
      <c r="O35" s="46">
        <f t="shared" si="5"/>
        <v>44400</v>
      </c>
      <c r="Q35" s="46">
        <f t="shared" si="0"/>
        <v>30568.000674684332</v>
      </c>
      <c r="S35" s="46">
        <f t="shared" si="6"/>
        <v>133200</v>
      </c>
    </row>
    <row r="36" spans="2:19" hidden="1">
      <c r="B36" s="54" t="s">
        <v>92</v>
      </c>
      <c r="C36" s="401"/>
      <c r="D36" s="55" t="s">
        <v>84</v>
      </c>
      <c r="E36" s="47">
        <v>36</v>
      </c>
      <c r="F36" s="47">
        <v>72638.888888888891</v>
      </c>
      <c r="G36" s="47">
        <f t="shared" ref="G36:G38" si="12">G32-2000</f>
        <v>73000</v>
      </c>
      <c r="H36" s="47">
        <f t="shared" si="10"/>
        <v>2628000</v>
      </c>
      <c r="I36" s="34"/>
      <c r="J36" s="47">
        <v>15000</v>
      </c>
      <c r="K36" s="34"/>
      <c r="L36" s="48">
        <f t="shared" si="2"/>
        <v>510600</v>
      </c>
      <c r="M36" s="46">
        <f t="shared" si="3"/>
        <v>500088</v>
      </c>
      <c r="N36" s="46">
        <f t="shared" si="4"/>
        <v>247800</v>
      </c>
      <c r="O36" s="46">
        <f t="shared" si="5"/>
        <v>43800</v>
      </c>
      <c r="Q36" s="46">
        <f t="shared" si="0"/>
        <v>30154.919584485891</v>
      </c>
      <c r="S36" s="46">
        <f t="shared" si="6"/>
        <v>131400</v>
      </c>
    </row>
    <row r="37" spans="2:19" hidden="1">
      <c r="B37" s="54" t="s">
        <v>92</v>
      </c>
      <c r="C37" s="401"/>
      <c r="D37" s="55" t="s">
        <v>102</v>
      </c>
      <c r="E37" s="47">
        <v>36</v>
      </c>
      <c r="F37" s="47">
        <v>65305.555555555555</v>
      </c>
      <c r="G37" s="47">
        <f t="shared" si="12"/>
        <v>73000</v>
      </c>
      <c r="H37" s="47">
        <f t="shared" si="10"/>
        <v>2628000</v>
      </c>
      <c r="I37" s="34"/>
      <c r="J37" s="47">
        <v>15000</v>
      </c>
      <c r="K37" s="34"/>
      <c r="L37" s="48">
        <f t="shared" si="2"/>
        <v>510600</v>
      </c>
      <c r="M37" s="46">
        <f t="shared" si="3"/>
        <v>500088</v>
      </c>
      <c r="N37" s="46">
        <f t="shared" si="4"/>
        <v>247800</v>
      </c>
      <c r="O37" s="46">
        <f t="shared" si="5"/>
        <v>43800</v>
      </c>
      <c r="Q37" s="46">
        <f t="shared" si="0"/>
        <v>30154.919584485891</v>
      </c>
      <c r="S37" s="46">
        <f t="shared" si="6"/>
        <v>131400</v>
      </c>
    </row>
    <row r="38" spans="2:19" hidden="1">
      <c r="B38" s="54" t="s">
        <v>92</v>
      </c>
      <c r="C38" s="402"/>
      <c r="D38" s="55" t="s">
        <v>103</v>
      </c>
      <c r="E38" s="47">
        <v>36</v>
      </c>
      <c r="F38" s="47">
        <v>69583.333333333328</v>
      </c>
      <c r="G38" s="47">
        <f t="shared" si="12"/>
        <v>74000</v>
      </c>
      <c r="H38" s="47">
        <f t="shared" si="10"/>
        <v>2664000</v>
      </c>
      <c r="I38" s="34"/>
      <c r="J38" s="47">
        <v>15000</v>
      </c>
      <c r="K38" s="34"/>
      <c r="L38" s="48">
        <f t="shared" si="2"/>
        <v>517800</v>
      </c>
      <c r="M38" s="46">
        <f t="shared" si="3"/>
        <v>507144</v>
      </c>
      <c r="N38" s="46">
        <f t="shared" si="4"/>
        <v>251400</v>
      </c>
      <c r="O38" s="46">
        <f t="shared" si="5"/>
        <v>44400</v>
      </c>
      <c r="Q38" s="46">
        <f t="shared" si="0"/>
        <v>30568.000674684332</v>
      </c>
      <c r="S38" s="46">
        <f t="shared" si="6"/>
        <v>133200</v>
      </c>
    </row>
    <row r="39" spans="2:19" hidden="1">
      <c r="B39" s="54" t="s">
        <v>92</v>
      </c>
      <c r="C39" s="400" t="s">
        <v>87</v>
      </c>
      <c r="D39" s="55" t="s">
        <v>104</v>
      </c>
      <c r="E39" s="47">
        <v>36</v>
      </c>
      <c r="F39" s="47">
        <v>61383.333333333336</v>
      </c>
      <c r="G39" s="47">
        <f>G35-2000</f>
        <v>72000</v>
      </c>
      <c r="H39" s="47">
        <f t="shared" si="10"/>
        <v>2592000</v>
      </c>
      <c r="I39" s="34"/>
      <c r="J39" s="47">
        <v>15000</v>
      </c>
      <c r="K39" s="34"/>
      <c r="L39" s="48">
        <f t="shared" si="2"/>
        <v>503400</v>
      </c>
      <c r="M39" s="46">
        <f t="shared" si="3"/>
        <v>493032</v>
      </c>
      <c r="N39" s="46">
        <f t="shared" si="4"/>
        <v>244200</v>
      </c>
      <c r="O39" s="46">
        <f t="shared" si="5"/>
        <v>43200</v>
      </c>
      <c r="Q39" s="46">
        <f t="shared" si="0"/>
        <v>29741.838494287458</v>
      </c>
      <c r="S39" s="46">
        <f t="shared" si="6"/>
        <v>129600</v>
      </c>
    </row>
    <row r="40" spans="2:19" hidden="1">
      <c r="B40" s="54" t="s">
        <v>92</v>
      </c>
      <c r="C40" s="401"/>
      <c r="D40" s="55" t="s">
        <v>105</v>
      </c>
      <c r="E40" s="47">
        <v>36</v>
      </c>
      <c r="F40" s="47">
        <v>64305.555555555555</v>
      </c>
      <c r="G40" s="47">
        <f t="shared" ref="G40:G42" si="13">G36-2000</f>
        <v>71000</v>
      </c>
      <c r="H40" s="47">
        <f t="shared" si="10"/>
        <v>2556000</v>
      </c>
      <c r="I40" s="34"/>
      <c r="J40" s="47">
        <v>15000</v>
      </c>
      <c r="K40" s="34"/>
      <c r="L40" s="48">
        <f t="shared" si="2"/>
        <v>496200</v>
      </c>
      <c r="M40" s="46">
        <f t="shared" si="3"/>
        <v>485976</v>
      </c>
      <c r="N40" s="46">
        <f t="shared" si="4"/>
        <v>240600</v>
      </c>
      <c r="O40" s="46">
        <f t="shared" si="5"/>
        <v>42600</v>
      </c>
      <c r="Q40" s="46">
        <f t="shared" si="0"/>
        <v>29328.757404089018</v>
      </c>
      <c r="S40" s="46">
        <f t="shared" si="6"/>
        <v>127800</v>
      </c>
    </row>
    <row r="41" spans="2:19" hidden="1">
      <c r="B41" s="54" t="s">
        <v>92</v>
      </c>
      <c r="C41" s="401"/>
      <c r="D41" s="55" t="s">
        <v>106</v>
      </c>
      <c r="E41" s="47">
        <v>36</v>
      </c>
      <c r="F41" s="47">
        <v>64305.555555555555</v>
      </c>
      <c r="G41" s="47">
        <f t="shared" si="13"/>
        <v>71000</v>
      </c>
      <c r="H41" s="47">
        <f t="shared" si="10"/>
        <v>2556000</v>
      </c>
      <c r="I41" s="34"/>
      <c r="J41" s="47">
        <v>15000</v>
      </c>
      <c r="K41" s="34"/>
      <c r="L41" s="48">
        <f t="shared" si="2"/>
        <v>496200</v>
      </c>
      <c r="M41" s="46">
        <f t="shared" si="3"/>
        <v>485976</v>
      </c>
      <c r="N41" s="46">
        <f t="shared" si="4"/>
        <v>240600</v>
      </c>
      <c r="O41" s="46">
        <f t="shared" si="5"/>
        <v>42600</v>
      </c>
      <c r="Q41" s="46">
        <f t="shared" si="0"/>
        <v>29328.757404089018</v>
      </c>
      <c r="S41" s="46">
        <f t="shared" si="6"/>
        <v>127800</v>
      </c>
    </row>
    <row r="42" spans="2:19" hidden="1">
      <c r="B42" s="196" t="s">
        <v>92</v>
      </c>
      <c r="C42" s="401"/>
      <c r="D42" s="197" t="s">
        <v>107</v>
      </c>
      <c r="E42" s="198">
        <v>36</v>
      </c>
      <c r="F42" s="198">
        <v>64305.555555555555</v>
      </c>
      <c r="G42" s="198">
        <f t="shared" si="13"/>
        <v>72000</v>
      </c>
      <c r="H42" s="198">
        <f t="shared" si="10"/>
        <v>2592000</v>
      </c>
      <c r="I42" s="34"/>
      <c r="J42" s="198">
        <v>15000</v>
      </c>
      <c r="K42" s="34"/>
      <c r="L42" s="199">
        <f t="shared" si="2"/>
        <v>503400</v>
      </c>
      <c r="M42" s="200">
        <f t="shared" si="3"/>
        <v>493032</v>
      </c>
      <c r="N42" s="200">
        <f t="shared" si="4"/>
        <v>244200</v>
      </c>
      <c r="O42" s="200">
        <f t="shared" si="5"/>
        <v>43200</v>
      </c>
      <c r="Q42" s="200">
        <f t="shared" si="0"/>
        <v>29741.838494287458</v>
      </c>
      <c r="S42" s="200">
        <f t="shared" si="6"/>
        <v>129600</v>
      </c>
    </row>
    <row r="43" spans="2:19">
      <c r="B43" s="206"/>
      <c r="C43" s="210"/>
      <c r="D43" s="198"/>
      <c r="E43" s="34"/>
      <c r="F43" s="34"/>
      <c r="G43" s="34"/>
      <c r="H43" s="198"/>
      <c r="I43" s="34"/>
      <c r="J43" s="198"/>
      <c r="K43" s="34"/>
      <c r="L43" s="199"/>
      <c r="M43" s="200"/>
      <c r="N43" s="200"/>
      <c r="O43" s="200"/>
      <c r="P43" s="62"/>
      <c r="Q43" s="200"/>
      <c r="R43" s="62"/>
      <c r="S43" s="205"/>
    </row>
    <row r="44" spans="2:19" hidden="1">
      <c r="B44" s="207" t="s">
        <v>108</v>
      </c>
      <c r="C44" s="401" t="s">
        <v>72</v>
      </c>
      <c r="D44" s="147" t="s">
        <v>109</v>
      </c>
      <c r="E44" s="34">
        <v>36</v>
      </c>
      <c r="F44" s="34">
        <v>67305.555555555562</v>
      </c>
      <c r="G44" s="34">
        <v>78000</v>
      </c>
      <c r="H44" s="213">
        <f t="shared" si="10"/>
        <v>2808000</v>
      </c>
      <c r="I44" s="34"/>
      <c r="J44" s="213">
        <v>15000</v>
      </c>
      <c r="K44" s="34"/>
      <c r="L44" s="214">
        <f t="shared" si="2"/>
        <v>546600</v>
      </c>
      <c r="M44" s="205">
        <f t="shared" si="3"/>
        <v>535368</v>
      </c>
      <c r="N44" s="205">
        <f t="shared" si="4"/>
        <v>265800</v>
      </c>
      <c r="O44" s="205">
        <f t="shared" si="5"/>
        <v>46800</v>
      </c>
      <c r="P44" s="62"/>
      <c r="Q44" s="205">
        <f t="shared" ref="Q44:Q59" si="14">PMT(15%/12,180,-H44*0.8)+S44/180</f>
        <v>32220.325035478079</v>
      </c>
      <c r="R44" s="62"/>
      <c r="S44" s="205">
        <f t="shared" si="6"/>
        <v>140400</v>
      </c>
    </row>
    <row r="45" spans="2:19" hidden="1">
      <c r="B45" s="208" t="s">
        <v>108</v>
      </c>
      <c r="C45" s="401"/>
      <c r="D45" s="147" t="s">
        <v>110</v>
      </c>
      <c r="E45" s="34">
        <v>36</v>
      </c>
      <c r="F45" s="34">
        <v>73500</v>
      </c>
      <c r="G45" s="34">
        <v>77000</v>
      </c>
      <c r="H45" s="213">
        <f t="shared" si="10"/>
        <v>2772000</v>
      </c>
      <c r="I45" s="34"/>
      <c r="J45" s="213">
        <v>15000</v>
      </c>
      <c r="K45" s="34"/>
      <c r="L45" s="214">
        <f t="shared" si="2"/>
        <v>539400</v>
      </c>
      <c r="M45" s="205">
        <f t="shared" si="3"/>
        <v>528312</v>
      </c>
      <c r="N45" s="205">
        <f t="shared" si="4"/>
        <v>262200</v>
      </c>
      <c r="O45" s="205">
        <f t="shared" si="5"/>
        <v>46200</v>
      </c>
      <c r="P45" s="62"/>
      <c r="Q45" s="205">
        <f t="shared" si="14"/>
        <v>31807.243945279639</v>
      </c>
      <c r="R45" s="62"/>
      <c r="S45" s="205">
        <f t="shared" si="6"/>
        <v>138600</v>
      </c>
    </row>
    <row r="46" spans="2:19" hidden="1">
      <c r="B46" s="208" t="s">
        <v>108</v>
      </c>
      <c r="C46" s="401"/>
      <c r="D46" s="147" t="s">
        <v>111</v>
      </c>
      <c r="E46" s="34">
        <v>36</v>
      </c>
      <c r="F46" s="34">
        <v>67000</v>
      </c>
      <c r="G46" s="34">
        <v>77000</v>
      </c>
      <c r="H46" s="213">
        <f t="shared" si="10"/>
        <v>2772000</v>
      </c>
      <c r="I46" s="34"/>
      <c r="J46" s="213">
        <v>15000</v>
      </c>
      <c r="K46" s="34"/>
      <c r="L46" s="214">
        <f t="shared" si="2"/>
        <v>539400</v>
      </c>
      <c r="M46" s="205">
        <f t="shared" si="3"/>
        <v>528312</v>
      </c>
      <c r="N46" s="205">
        <f t="shared" si="4"/>
        <v>262200</v>
      </c>
      <c r="O46" s="205">
        <f t="shared" si="5"/>
        <v>46200</v>
      </c>
      <c r="P46" s="62"/>
      <c r="Q46" s="205">
        <f t="shared" si="14"/>
        <v>31807.243945279639</v>
      </c>
      <c r="R46" s="62"/>
      <c r="S46" s="205">
        <f t="shared" si="6"/>
        <v>138600</v>
      </c>
    </row>
    <row r="47" spans="2:19" hidden="1">
      <c r="B47" s="208" t="s">
        <v>108</v>
      </c>
      <c r="C47" s="401"/>
      <c r="D47" s="147" t="s">
        <v>112</v>
      </c>
      <c r="E47" s="34">
        <v>36</v>
      </c>
      <c r="F47" s="34">
        <v>67000</v>
      </c>
      <c r="G47" s="34">
        <v>78000</v>
      </c>
      <c r="H47" s="213">
        <f t="shared" si="10"/>
        <v>2808000</v>
      </c>
      <c r="I47" s="34"/>
      <c r="J47" s="213">
        <v>15000</v>
      </c>
      <c r="K47" s="34"/>
      <c r="L47" s="214">
        <f t="shared" si="2"/>
        <v>546600</v>
      </c>
      <c r="M47" s="205">
        <f t="shared" si="3"/>
        <v>535368</v>
      </c>
      <c r="N47" s="205">
        <f t="shared" si="4"/>
        <v>265800</v>
      </c>
      <c r="O47" s="205">
        <f t="shared" si="5"/>
        <v>46800</v>
      </c>
      <c r="P47" s="62"/>
      <c r="Q47" s="205">
        <f t="shared" si="14"/>
        <v>32220.325035478079</v>
      </c>
      <c r="R47" s="62"/>
      <c r="S47" s="205">
        <f t="shared" si="6"/>
        <v>140400</v>
      </c>
    </row>
    <row r="48" spans="2:19" ht="12" hidden="1" customHeight="1">
      <c r="B48" s="208" t="s">
        <v>108</v>
      </c>
      <c r="C48" s="211" t="s">
        <v>77</v>
      </c>
      <c r="D48" s="213" t="s">
        <v>113</v>
      </c>
      <c r="E48" s="34">
        <v>36</v>
      </c>
      <c r="F48" s="34">
        <v>66305.555555555562</v>
      </c>
      <c r="G48" s="34">
        <f>G44-2000</f>
        <v>76000</v>
      </c>
      <c r="H48" s="213">
        <f t="shared" si="10"/>
        <v>2736000</v>
      </c>
      <c r="I48" s="34"/>
      <c r="J48" s="213">
        <v>15000</v>
      </c>
      <c r="K48" s="34"/>
      <c r="L48" s="214">
        <f t="shared" si="2"/>
        <v>532200</v>
      </c>
      <c r="M48" s="205">
        <f t="shared" si="3"/>
        <v>521256</v>
      </c>
      <c r="N48" s="205">
        <f t="shared" si="4"/>
        <v>258600</v>
      </c>
      <c r="O48" s="205">
        <f t="shared" si="5"/>
        <v>45600</v>
      </c>
      <c r="P48" s="62"/>
      <c r="Q48" s="205">
        <f t="shared" si="14"/>
        <v>31394.162855081206</v>
      </c>
      <c r="R48" s="62"/>
      <c r="S48" s="205">
        <f t="shared" si="6"/>
        <v>136800</v>
      </c>
    </row>
    <row r="49" spans="2:19" ht="12" hidden="1" customHeight="1">
      <c r="B49" s="208" t="s">
        <v>108</v>
      </c>
      <c r="C49" s="211"/>
      <c r="D49" s="213" t="s">
        <v>114</v>
      </c>
      <c r="E49" s="34">
        <v>36</v>
      </c>
      <c r="F49" s="34">
        <v>66305.555555555562</v>
      </c>
      <c r="G49" s="34">
        <f t="shared" ref="G49:G51" si="15">G45-2000</f>
        <v>75000</v>
      </c>
      <c r="H49" s="213">
        <f t="shared" si="10"/>
        <v>2700000</v>
      </c>
      <c r="I49" s="34"/>
      <c r="J49" s="213">
        <v>15000</v>
      </c>
      <c r="K49" s="34"/>
      <c r="L49" s="214">
        <f t="shared" si="2"/>
        <v>525000</v>
      </c>
      <c r="M49" s="205">
        <f t="shared" si="3"/>
        <v>514200</v>
      </c>
      <c r="N49" s="205">
        <f t="shared" si="4"/>
        <v>255000</v>
      </c>
      <c r="O49" s="205">
        <f t="shared" si="5"/>
        <v>45000</v>
      </c>
      <c r="P49" s="62"/>
      <c r="Q49" s="205">
        <f t="shared" si="14"/>
        <v>30981.081764882765</v>
      </c>
      <c r="R49" s="62"/>
      <c r="S49" s="205">
        <f t="shared" si="6"/>
        <v>135000</v>
      </c>
    </row>
    <row r="50" spans="2:19">
      <c r="B50" s="209" t="s">
        <v>108</v>
      </c>
      <c r="C50" s="211"/>
      <c r="D50" s="202" t="s">
        <v>115</v>
      </c>
      <c r="E50" s="34">
        <v>36</v>
      </c>
      <c r="F50" s="34">
        <v>66305.555555555562</v>
      </c>
      <c r="G50" s="34">
        <f t="shared" si="15"/>
        <v>75000</v>
      </c>
      <c r="H50" s="202">
        <f t="shared" si="10"/>
        <v>2700000</v>
      </c>
      <c r="I50" s="34"/>
      <c r="J50" s="202">
        <v>15000</v>
      </c>
      <c r="K50" s="34"/>
      <c r="L50" s="203">
        <f>H50*0.2-J50</f>
        <v>525000</v>
      </c>
      <c r="M50" s="201">
        <f>H50*0.2*0.98-J50</f>
        <v>514200</v>
      </c>
      <c r="N50" s="201">
        <f>H50*0.1-J50</f>
        <v>255000</v>
      </c>
      <c r="O50" s="201">
        <f>H50*0.1/6</f>
        <v>45000</v>
      </c>
      <c r="P50" s="62"/>
      <c r="Q50" s="201">
        <f t="shared" si="14"/>
        <v>30785.998431549433</v>
      </c>
      <c r="R50" s="62"/>
      <c r="S50" s="201">
        <v>99885</v>
      </c>
    </row>
    <row r="51" spans="2:19" ht="12" hidden="1" customHeight="1">
      <c r="B51" s="61" t="s">
        <v>108</v>
      </c>
      <c r="C51" s="212"/>
      <c r="D51" s="34" t="s">
        <v>116</v>
      </c>
      <c r="E51" s="34">
        <v>36</v>
      </c>
      <c r="F51" s="34">
        <v>71000</v>
      </c>
      <c r="G51" s="34">
        <f t="shared" si="15"/>
        <v>76000</v>
      </c>
      <c r="H51" s="34">
        <f t="shared" si="10"/>
        <v>2736000</v>
      </c>
      <c r="I51" s="34"/>
      <c r="J51" s="34">
        <v>15000</v>
      </c>
      <c r="K51" s="34"/>
      <c r="L51" s="204">
        <f t="shared" si="2"/>
        <v>532200</v>
      </c>
      <c r="M51" s="61">
        <f t="shared" si="3"/>
        <v>521256</v>
      </c>
      <c r="N51" s="61">
        <f t="shared" si="4"/>
        <v>258600</v>
      </c>
      <c r="O51" s="61">
        <f t="shared" si="5"/>
        <v>45600</v>
      </c>
      <c r="P51" s="62"/>
      <c r="Q51" s="61">
        <f t="shared" si="14"/>
        <v>31394.162855081206</v>
      </c>
      <c r="R51" s="62"/>
      <c r="S51" s="61">
        <f t="shared" si="6"/>
        <v>136800</v>
      </c>
    </row>
    <row r="52" spans="2:19" hidden="1">
      <c r="B52" s="201" t="s">
        <v>108</v>
      </c>
      <c r="C52" s="401" t="s">
        <v>82</v>
      </c>
      <c r="D52" s="202" t="s">
        <v>117</v>
      </c>
      <c r="E52" s="202">
        <v>36</v>
      </c>
      <c r="F52" s="202">
        <v>65305.555555555555</v>
      </c>
      <c r="G52" s="202">
        <f>G48-2000</f>
        <v>74000</v>
      </c>
      <c r="H52" s="202">
        <f t="shared" si="10"/>
        <v>2664000</v>
      </c>
      <c r="I52" s="34"/>
      <c r="J52" s="202">
        <v>15000</v>
      </c>
      <c r="K52" s="34"/>
      <c r="L52" s="203">
        <f t="shared" si="2"/>
        <v>517800</v>
      </c>
      <c r="M52" s="201">
        <f t="shared" si="3"/>
        <v>507144</v>
      </c>
      <c r="N52" s="201">
        <f t="shared" si="4"/>
        <v>251400</v>
      </c>
      <c r="O52" s="201">
        <f t="shared" si="5"/>
        <v>44400</v>
      </c>
      <c r="Q52" s="201">
        <f t="shared" si="14"/>
        <v>30568.000674684332</v>
      </c>
      <c r="S52" s="201">
        <f t="shared" si="6"/>
        <v>133200</v>
      </c>
    </row>
    <row r="53" spans="2:19" hidden="1">
      <c r="B53" s="46" t="s">
        <v>108</v>
      </c>
      <c r="C53" s="401"/>
      <c r="D53" s="47" t="s">
        <v>118</v>
      </c>
      <c r="E53" s="47">
        <v>36</v>
      </c>
      <c r="F53" s="47">
        <v>65305.555555555555</v>
      </c>
      <c r="G53" s="47">
        <f t="shared" ref="G53:G55" si="16">G49-2000</f>
        <v>73000</v>
      </c>
      <c r="H53" s="47">
        <f t="shared" si="10"/>
        <v>2628000</v>
      </c>
      <c r="I53" s="34"/>
      <c r="J53" s="47">
        <v>15000</v>
      </c>
      <c r="K53" s="34"/>
      <c r="L53" s="48">
        <f t="shared" si="2"/>
        <v>510600</v>
      </c>
      <c r="M53" s="46">
        <f t="shared" si="3"/>
        <v>500088</v>
      </c>
      <c r="N53" s="46">
        <f t="shared" si="4"/>
        <v>247800</v>
      </c>
      <c r="O53" s="46">
        <f t="shared" si="5"/>
        <v>43800</v>
      </c>
      <c r="Q53" s="46">
        <f t="shared" si="14"/>
        <v>30154.919584485891</v>
      </c>
      <c r="S53" s="46">
        <f t="shared" si="6"/>
        <v>131400</v>
      </c>
    </row>
    <row r="54" spans="2:19" hidden="1">
      <c r="B54" s="46" t="s">
        <v>108</v>
      </c>
      <c r="C54" s="401"/>
      <c r="D54" s="47" t="s">
        <v>119</v>
      </c>
      <c r="E54" s="47">
        <v>36</v>
      </c>
      <c r="F54" s="47">
        <v>65305.555555555555</v>
      </c>
      <c r="G54" s="47">
        <f t="shared" si="16"/>
        <v>73000</v>
      </c>
      <c r="H54" s="47">
        <f t="shared" si="10"/>
        <v>2628000</v>
      </c>
      <c r="I54" s="34"/>
      <c r="J54" s="47">
        <v>15000</v>
      </c>
      <c r="K54" s="34"/>
      <c r="L54" s="48">
        <f t="shared" si="2"/>
        <v>510600</v>
      </c>
      <c r="M54" s="46">
        <f t="shared" si="3"/>
        <v>500088</v>
      </c>
      <c r="N54" s="46">
        <f t="shared" si="4"/>
        <v>247800</v>
      </c>
      <c r="O54" s="46">
        <f t="shared" si="5"/>
        <v>43800</v>
      </c>
      <c r="Q54" s="46">
        <f t="shared" si="14"/>
        <v>30154.919584485891</v>
      </c>
      <c r="S54" s="46">
        <f t="shared" si="6"/>
        <v>131400</v>
      </c>
    </row>
    <row r="55" spans="2:19" hidden="1">
      <c r="B55" s="46" t="s">
        <v>108</v>
      </c>
      <c r="C55" s="402"/>
      <c r="D55" s="47" t="s">
        <v>120</v>
      </c>
      <c r="E55" s="47">
        <v>36</v>
      </c>
      <c r="F55" s="47">
        <v>65305.555555555555</v>
      </c>
      <c r="G55" s="47">
        <f t="shared" si="16"/>
        <v>74000</v>
      </c>
      <c r="H55" s="47">
        <f t="shared" si="10"/>
        <v>2664000</v>
      </c>
      <c r="I55" s="34"/>
      <c r="J55" s="47">
        <v>15000</v>
      </c>
      <c r="K55" s="34"/>
      <c r="L55" s="48">
        <f t="shared" si="2"/>
        <v>517800</v>
      </c>
      <c r="M55" s="46">
        <f t="shared" si="3"/>
        <v>507144</v>
      </c>
      <c r="N55" s="46">
        <f t="shared" si="4"/>
        <v>251400</v>
      </c>
      <c r="O55" s="46">
        <f t="shared" si="5"/>
        <v>44400</v>
      </c>
      <c r="Q55" s="46">
        <f t="shared" si="14"/>
        <v>30568.000674684332</v>
      </c>
      <c r="S55" s="46">
        <f t="shared" si="6"/>
        <v>133200</v>
      </c>
    </row>
    <row r="56" spans="2:19" hidden="1">
      <c r="B56" s="46" t="s">
        <v>108</v>
      </c>
      <c r="C56" s="400" t="s">
        <v>87</v>
      </c>
      <c r="D56" s="47" t="s">
        <v>121</v>
      </c>
      <c r="E56" s="47">
        <v>36</v>
      </c>
      <c r="F56" s="47">
        <v>64305.555555555555</v>
      </c>
      <c r="G56" s="47">
        <f>G52-2000</f>
        <v>72000</v>
      </c>
      <c r="H56" s="47">
        <f t="shared" si="10"/>
        <v>2592000</v>
      </c>
      <c r="I56" s="34"/>
      <c r="J56" s="47">
        <v>15000</v>
      </c>
      <c r="K56" s="34"/>
      <c r="L56" s="48">
        <f t="shared" si="2"/>
        <v>503400</v>
      </c>
      <c r="M56" s="46">
        <f t="shared" si="3"/>
        <v>493032</v>
      </c>
      <c r="N56" s="46">
        <f t="shared" si="4"/>
        <v>244200</v>
      </c>
      <c r="O56" s="46">
        <f t="shared" si="5"/>
        <v>43200</v>
      </c>
      <c r="Q56" s="46">
        <f t="shared" si="14"/>
        <v>29741.838494287458</v>
      </c>
      <c r="S56" s="46">
        <f t="shared" si="6"/>
        <v>129600</v>
      </c>
    </row>
    <row r="57" spans="2:19" hidden="1">
      <c r="B57" s="46" t="s">
        <v>108</v>
      </c>
      <c r="C57" s="401"/>
      <c r="D57" s="47" t="s">
        <v>122</v>
      </c>
      <c r="E57" s="47">
        <v>36</v>
      </c>
      <c r="F57" s="47">
        <v>64305.555555555555</v>
      </c>
      <c r="G57" s="47">
        <f t="shared" ref="G57:G59" si="17">G53-2000</f>
        <v>71000</v>
      </c>
      <c r="H57" s="47">
        <f t="shared" si="10"/>
        <v>2556000</v>
      </c>
      <c r="I57" s="34"/>
      <c r="J57" s="47">
        <v>15000</v>
      </c>
      <c r="K57" s="34"/>
      <c r="L57" s="48">
        <f t="shared" si="2"/>
        <v>496200</v>
      </c>
      <c r="M57" s="46">
        <f t="shared" si="3"/>
        <v>485976</v>
      </c>
      <c r="N57" s="46">
        <f t="shared" si="4"/>
        <v>240600</v>
      </c>
      <c r="O57" s="46">
        <f t="shared" si="5"/>
        <v>42600</v>
      </c>
      <c r="Q57" s="46">
        <f t="shared" si="14"/>
        <v>29328.757404089018</v>
      </c>
      <c r="S57" s="46">
        <f t="shared" si="6"/>
        <v>127800</v>
      </c>
    </row>
    <row r="58" spans="2:19" hidden="1">
      <c r="B58" s="46" t="s">
        <v>108</v>
      </c>
      <c r="C58" s="401"/>
      <c r="D58" s="47" t="s">
        <v>123</v>
      </c>
      <c r="E58" s="47">
        <v>36</v>
      </c>
      <c r="F58" s="47">
        <v>64305.555555555555</v>
      </c>
      <c r="G58" s="47">
        <f t="shared" si="17"/>
        <v>71000</v>
      </c>
      <c r="H58" s="47">
        <f t="shared" si="10"/>
        <v>2556000</v>
      </c>
      <c r="I58" s="34"/>
      <c r="J58" s="47">
        <v>15000</v>
      </c>
      <c r="K58" s="34"/>
      <c r="L58" s="48">
        <f t="shared" si="2"/>
        <v>496200</v>
      </c>
      <c r="M58" s="46">
        <f t="shared" si="3"/>
        <v>485976</v>
      </c>
      <c r="N58" s="46">
        <f t="shared" si="4"/>
        <v>240600</v>
      </c>
      <c r="O58" s="46">
        <f t="shared" si="5"/>
        <v>42600</v>
      </c>
      <c r="Q58" s="46">
        <f t="shared" si="14"/>
        <v>29328.757404089018</v>
      </c>
      <c r="S58" s="46">
        <f t="shared" si="6"/>
        <v>127800</v>
      </c>
    </row>
    <row r="59" spans="2:19" hidden="1">
      <c r="B59" s="46" t="s">
        <v>108</v>
      </c>
      <c r="C59" s="402"/>
      <c r="D59" s="47" t="s">
        <v>124</v>
      </c>
      <c r="E59" s="47">
        <v>36</v>
      </c>
      <c r="F59" s="47">
        <v>64305.555555555555</v>
      </c>
      <c r="G59" s="47">
        <f t="shared" si="17"/>
        <v>72000</v>
      </c>
      <c r="H59" s="47">
        <f t="shared" si="10"/>
        <v>2592000</v>
      </c>
      <c r="I59" s="34"/>
      <c r="J59" s="47">
        <v>15000</v>
      </c>
      <c r="K59" s="34"/>
      <c r="L59" s="48">
        <f t="shared" si="2"/>
        <v>503400</v>
      </c>
      <c r="M59" s="46">
        <f t="shared" si="3"/>
        <v>493032</v>
      </c>
      <c r="N59" s="46">
        <f t="shared" si="4"/>
        <v>244200</v>
      </c>
      <c r="O59" s="46">
        <f t="shared" si="5"/>
        <v>43200</v>
      </c>
      <c r="Q59" s="46">
        <f t="shared" si="14"/>
        <v>29741.838494287458</v>
      </c>
      <c r="S59" s="46">
        <f t="shared" si="6"/>
        <v>129600</v>
      </c>
    </row>
    <row r="62" spans="2:19" s="45" customFormat="1" ht="11.25">
      <c r="B62" s="45" t="s">
        <v>303</v>
      </c>
      <c r="C62" s="29"/>
      <c r="D62" s="45" t="s">
        <v>295</v>
      </c>
      <c r="E62" s="216"/>
      <c r="F62" s="216"/>
      <c r="G62" s="216"/>
      <c r="I62" s="222"/>
      <c r="J62" s="85"/>
      <c r="K62" s="218"/>
      <c r="M62" s="85"/>
      <c r="N62" s="85"/>
      <c r="O62" s="85"/>
      <c r="Q62" s="85"/>
      <c r="S62" s="85"/>
    </row>
    <row r="63" spans="2:19" s="45" customFormat="1" ht="11.25">
      <c r="C63" s="29"/>
      <c r="D63" s="45" t="s">
        <v>10</v>
      </c>
      <c r="E63" s="216"/>
      <c r="F63" s="216"/>
      <c r="G63" s="216"/>
      <c r="I63" s="222"/>
      <c r="J63" s="85"/>
      <c r="K63" s="218"/>
      <c r="M63" s="85"/>
      <c r="N63" s="85"/>
      <c r="O63" s="85"/>
      <c r="Q63" s="85"/>
      <c r="S63" s="85"/>
    </row>
    <row r="64" spans="2:19" s="45" customFormat="1" ht="11.25">
      <c r="C64" s="29"/>
      <c r="D64" s="45" t="s">
        <v>11</v>
      </c>
      <c r="E64" s="216"/>
      <c r="F64" s="216"/>
      <c r="G64" s="216"/>
      <c r="I64" s="222"/>
      <c r="J64" s="85"/>
      <c r="K64" s="218"/>
      <c r="M64" s="85"/>
      <c r="N64" s="85"/>
      <c r="O64" s="85"/>
      <c r="Q64" s="85"/>
      <c r="S64" s="85"/>
    </row>
    <row r="65" spans="3:19" s="45" customFormat="1" ht="11.25">
      <c r="C65" s="29"/>
      <c r="D65" s="45" t="s">
        <v>296</v>
      </c>
      <c r="E65" s="216"/>
      <c r="F65" s="216"/>
      <c r="G65" s="216"/>
      <c r="I65" s="222"/>
      <c r="J65" s="85"/>
      <c r="K65" s="218"/>
      <c r="M65" s="85"/>
      <c r="N65" s="85"/>
      <c r="O65" s="85"/>
      <c r="Q65" s="85"/>
      <c r="S65" s="85"/>
    </row>
    <row r="66" spans="3:19" s="45" customFormat="1" ht="11.25">
      <c r="C66" s="29"/>
      <c r="D66" s="216"/>
      <c r="E66" s="216"/>
      <c r="F66" s="216"/>
      <c r="G66" s="216"/>
      <c r="H66" s="85"/>
      <c r="I66" s="218"/>
      <c r="J66" s="85"/>
      <c r="K66" s="218"/>
      <c r="M66" s="85"/>
      <c r="N66" s="85"/>
      <c r="O66" s="85"/>
      <c r="Q66" s="85"/>
      <c r="S66" s="85"/>
    </row>
    <row r="67" spans="3:19" s="45" customFormat="1" ht="11.25">
      <c r="C67" s="29"/>
      <c r="D67" s="216"/>
      <c r="E67" s="216"/>
      <c r="F67" s="216"/>
      <c r="G67" s="216"/>
      <c r="H67" s="85"/>
      <c r="I67" s="218"/>
      <c r="J67" s="85"/>
      <c r="K67" s="218"/>
      <c r="M67" s="85"/>
      <c r="N67" s="85"/>
      <c r="O67" s="85"/>
      <c r="Q67" s="85"/>
      <c r="S67" s="85"/>
    </row>
  </sheetData>
  <mergeCells count="31">
    <mergeCell ref="B2:H2"/>
    <mergeCell ref="B4:H4"/>
    <mergeCell ref="B3:G3"/>
    <mergeCell ref="B6:B9"/>
    <mergeCell ref="C6:C9"/>
    <mergeCell ref="D6:D9"/>
    <mergeCell ref="E6:E9"/>
    <mergeCell ref="S6:S9"/>
    <mergeCell ref="F7:F8"/>
    <mergeCell ref="G7:G8"/>
    <mergeCell ref="L7:L9"/>
    <mergeCell ref="N7:O7"/>
    <mergeCell ref="M8:M9"/>
    <mergeCell ref="C18:C21"/>
    <mergeCell ref="H6:H9"/>
    <mergeCell ref="J6:J9"/>
    <mergeCell ref="L6:O6"/>
    <mergeCell ref="Q6:Q7"/>
    <mergeCell ref="N8:N9"/>
    <mergeCell ref="O8:O9"/>
    <mergeCell ref="Q8:Q9"/>
    <mergeCell ref="C10:C13"/>
    <mergeCell ref="C14:C17"/>
    <mergeCell ref="C52:C55"/>
    <mergeCell ref="C56:C59"/>
    <mergeCell ref="C22:C25"/>
    <mergeCell ref="C27:C30"/>
    <mergeCell ref="C31:C34"/>
    <mergeCell ref="C35:C38"/>
    <mergeCell ref="C39:C42"/>
    <mergeCell ref="C44:C47"/>
  </mergeCells>
  <pageMargins left="0.7" right="0.7" top="0.75" bottom="0.75" header="0.3" footer="0.3"/>
  <pageSetup orientation="landscape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89999084444715716"/>
  </sheetPr>
  <dimension ref="A2:W94"/>
  <sheetViews>
    <sheetView zoomScale="90" zoomScaleNormal="90" workbookViewId="0">
      <selection activeCell="W38" sqref="W38"/>
    </sheetView>
  </sheetViews>
  <sheetFormatPr defaultRowHeight="12"/>
  <cols>
    <col min="1" max="1" width="6.140625" style="28" customWidth="1"/>
    <col min="2" max="2" width="7.42578125" style="28" customWidth="1"/>
    <col min="3" max="3" width="6.5703125" style="28" hidden="1" customWidth="1"/>
    <col min="4" max="4" width="5.85546875" style="30" hidden="1" customWidth="1"/>
    <col min="5" max="5" width="11.85546875" style="30" hidden="1" customWidth="1"/>
    <col min="6" max="7" width="8" style="30" hidden="1" customWidth="1"/>
    <col min="8" max="8" width="0.42578125" style="30" hidden="1" customWidth="1"/>
    <col min="9" max="9" width="13.42578125" style="30" customWidth="1"/>
    <col min="10" max="10" width="1.85546875" style="28" customWidth="1"/>
    <col min="11" max="11" width="8.28515625" style="32" customWidth="1"/>
    <col min="12" max="12" width="1.140625" style="34" customWidth="1"/>
    <col min="13" max="13" width="11.28515625" style="93" customWidth="1"/>
    <col min="14" max="14" width="12.5703125" style="32" customWidth="1"/>
    <col min="15" max="15" width="10" style="82" customWidth="1"/>
    <col min="16" max="16" width="10.85546875" style="33" customWidth="1"/>
    <col min="17" max="17" width="1.28515625" style="28" customWidth="1"/>
    <col min="18" max="18" width="13.85546875" style="82" customWidth="1"/>
    <col min="19" max="19" width="1" style="28" customWidth="1"/>
    <col min="20" max="20" width="12.42578125" style="82" customWidth="1"/>
    <col min="21" max="21" width="9.140625" style="28"/>
    <col min="22" max="22" width="11" style="28" bestFit="1" customWidth="1"/>
    <col min="23" max="23" width="14.5703125" style="82" bestFit="1" customWidth="1"/>
    <col min="24" max="16384" width="9.140625" style="28"/>
  </cols>
  <sheetData>
    <row r="2" spans="2:22">
      <c r="B2" s="28" t="s">
        <v>318</v>
      </c>
    </row>
    <row r="3" spans="2:22" ht="12" customHeight="1">
      <c r="B3" s="456" t="s">
        <v>126</v>
      </c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456"/>
      <c r="Q3" s="456"/>
      <c r="R3" s="456"/>
      <c r="S3" s="62"/>
      <c r="U3" s="33"/>
    </row>
    <row r="4" spans="2:22" ht="12" customHeight="1">
      <c r="B4" s="437" t="s">
        <v>127</v>
      </c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7"/>
      <c r="S4" s="62"/>
      <c r="U4" s="33"/>
    </row>
    <row r="5" spans="2:22" ht="15" customHeight="1">
      <c r="B5" s="437" t="s">
        <v>247</v>
      </c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  <c r="O5" s="437"/>
      <c r="P5" s="437"/>
      <c r="Q5" s="437"/>
      <c r="R5" s="437"/>
      <c r="S5" s="62"/>
      <c r="U5" s="33"/>
    </row>
    <row r="7" spans="2:22" ht="12" customHeight="1">
      <c r="B7" s="438" t="s">
        <v>129</v>
      </c>
      <c r="C7" s="431" t="s">
        <v>130</v>
      </c>
      <c r="D7" s="454" t="s">
        <v>131</v>
      </c>
      <c r="E7" s="438" t="s">
        <v>132</v>
      </c>
      <c r="F7" s="431" t="s">
        <v>133</v>
      </c>
      <c r="G7" s="431" t="s">
        <v>134</v>
      </c>
      <c r="H7" s="431" t="s">
        <v>309</v>
      </c>
      <c r="I7" s="431" t="s">
        <v>135</v>
      </c>
      <c r="K7" s="441" t="s">
        <v>5</v>
      </c>
      <c r="L7" s="63"/>
      <c r="M7" s="425" t="s">
        <v>314</v>
      </c>
      <c r="N7" s="425"/>
      <c r="O7" s="425"/>
      <c r="P7" s="425"/>
      <c r="Q7" s="221"/>
      <c r="R7" s="427" t="s">
        <v>315</v>
      </c>
      <c r="S7" s="221"/>
      <c r="T7" s="427" t="s">
        <v>306</v>
      </c>
    </row>
    <row r="8" spans="2:22">
      <c r="B8" s="438"/>
      <c r="C8" s="432"/>
      <c r="D8" s="454"/>
      <c r="E8" s="438"/>
      <c r="F8" s="432"/>
      <c r="G8" s="432"/>
      <c r="H8" s="432"/>
      <c r="I8" s="432"/>
      <c r="K8" s="443"/>
      <c r="L8" s="63"/>
      <c r="M8" s="427" t="s">
        <v>311</v>
      </c>
      <c r="N8" s="44">
        <v>1</v>
      </c>
      <c r="O8" s="453">
        <v>2</v>
      </c>
      <c r="P8" s="453"/>
      <c r="Q8" s="221"/>
      <c r="R8" s="427"/>
      <c r="S8" s="221"/>
      <c r="T8" s="427"/>
    </row>
    <row r="9" spans="2:22" ht="21" customHeight="1">
      <c r="B9" s="438"/>
      <c r="C9" s="432"/>
      <c r="D9" s="454"/>
      <c r="E9" s="438"/>
      <c r="F9" s="432"/>
      <c r="G9" s="432"/>
      <c r="H9" s="432"/>
      <c r="I9" s="432"/>
      <c r="K9" s="443"/>
      <c r="L9" s="63"/>
      <c r="M9" s="427"/>
      <c r="N9" s="403" t="s">
        <v>310</v>
      </c>
      <c r="O9" s="379" t="s">
        <v>312</v>
      </c>
      <c r="P9" s="441" t="s">
        <v>313</v>
      </c>
      <c r="Q9" s="215"/>
      <c r="R9" s="379" t="s">
        <v>316</v>
      </c>
      <c r="S9" s="215"/>
      <c r="T9" s="427"/>
    </row>
    <row r="10" spans="2:22" ht="25.5" customHeight="1">
      <c r="B10" s="431"/>
      <c r="C10" s="432"/>
      <c r="D10" s="455"/>
      <c r="E10" s="431"/>
      <c r="F10" s="432"/>
      <c r="G10" s="432"/>
      <c r="H10" s="432"/>
      <c r="I10" s="432"/>
      <c r="K10" s="443"/>
      <c r="L10" s="63"/>
      <c r="M10" s="379"/>
      <c r="N10" s="441"/>
      <c r="O10" s="380"/>
      <c r="P10" s="443"/>
      <c r="R10" s="380"/>
      <c r="T10" s="379"/>
      <c r="U10" s="50"/>
    </row>
    <row r="11" spans="2:22">
      <c r="B11" s="151"/>
      <c r="C11" s="97"/>
      <c r="D11" s="97"/>
      <c r="E11" s="97"/>
      <c r="F11" s="97"/>
      <c r="G11" s="97"/>
      <c r="H11" s="97"/>
      <c r="I11" s="151"/>
      <c r="J11" s="62"/>
      <c r="K11" s="152"/>
      <c r="L11" s="63"/>
      <c r="M11" s="273"/>
      <c r="N11" s="271"/>
      <c r="O11" s="273"/>
      <c r="P11" s="279"/>
      <c r="Q11" s="62"/>
      <c r="R11" s="273"/>
      <c r="S11" s="62"/>
      <c r="T11" s="273"/>
      <c r="U11" s="50"/>
    </row>
    <row r="12" spans="2:22" ht="17.25" customHeight="1">
      <c r="B12" s="224" t="s">
        <v>136</v>
      </c>
      <c r="C12" s="31" t="s">
        <v>137</v>
      </c>
      <c r="D12" s="31">
        <v>42</v>
      </c>
      <c r="E12" s="34">
        <f>'[2]Price per sqm-FF'!E5</f>
        <v>62500</v>
      </c>
      <c r="F12" s="34">
        <f t="shared" ref="F12:F43" si="0">E12*1.08</f>
        <v>67500</v>
      </c>
      <c r="G12" s="34">
        <f t="shared" ref="G12:G43" si="1">F12*1.03</f>
        <v>69525</v>
      </c>
      <c r="H12" s="34">
        <f>G12*1.03</f>
        <v>71610.75</v>
      </c>
      <c r="I12" s="262">
        <f>H12*D12</f>
        <v>3007651.5</v>
      </c>
      <c r="J12" s="261"/>
      <c r="K12" s="213">
        <v>15000</v>
      </c>
      <c r="M12" s="293">
        <f>I12*0.1-K12</f>
        <v>285765.15000000002</v>
      </c>
      <c r="N12" s="277">
        <f>M12/6</f>
        <v>47627.525000000001</v>
      </c>
      <c r="O12" s="238">
        <f>(I12*0.05-K12)/6</f>
        <v>22563.762500000001</v>
      </c>
      <c r="P12" s="280">
        <f>I12*0.05</f>
        <v>150382.57500000001</v>
      </c>
      <c r="Q12" s="62"/>
      <c r="R12" s="238">
        <f>PMT(14%/12,180,-I12*0.9)+T12/180</f>
        <v>36659.192512352529</v>
      </c>
      <c r="S12" s="62"/>
      <c r="T12" s="238">
        <v>109884</v>
      </c>
      <c r="U12" s="284"/>
      <c r="V12" s="49"/>
    </row>
    <row r="13" spans="2:22">
      <c r="B13" s="224" t="s">
        <v>138</v>
      </c>
      <c r="C13" s="31" t="s">
        <v>139</v>
      </c>
      <c r="D13" s="31">
        <v>42</v>
      </c>
      <c r="E13" s="34">
        <f>'[2]Price per sqm-FF'!F5</f>
        <v>61000</v>
      </c>
      <c r="F13" s="34">
        <f t="shared" si="0"/>
        <v>65880</v>
      </c>
      <c r="G13" s="34">
        <f t="shared" si="1"/>
        <v>67856.400000000009</v>
      </c>
      <c r="H13" s="34">
        <f t="shared" ref="H13:H72" si="2">G13*1.03</f>
        <v>69892.092000000004</v>
      </c>
      <c r="I13" s="262">
        <f t="shared" ref="I13:I72" si="3">H13*D13</f>
        <v>2935467.8640000001</v>
      </c>
      <c r="J13" s="62"/>
      <c r="K13" s="213">
        <v>15000</v>
      </c>
      <c r="M13" s="293">
        <f t="shared" ref="M13:M72" si="4">I13*0.1-K13</f>
        <v>278546.78640000004</v>
      </c>
      <c r="N13" s="277">
        <f t="shared" ref="N13:N72" si="5">M13/6</f>
        <v>46424.464400000004</v>
      </c>
      <c r="O13" s="238">
        <f t="shared" ref="O13:O72" si="6">(I13*0.05-K13)/6</f>
        <v>21962.232200000002</v>
      </c>
      <c r="P13" s="280">
        <f t="shared" ref="P13:P76" si="7">I13*0.05</f>
        <v>146773.39320000002</v>
      </c>
      <c r="Q13" s="62"/>
      <c r="R13" s="238">
        <f t="shared" ref="R13:R72" si="8">PMT(14%/12,180,-I13*0.9)+T13/180</f>
        <v>35780.989758722739</v>
      </c>
      <c r="S13" s="62"/>
      <c r="T13" s="238">
        <v>107538</v>
      </c>
      <c r="U13" s="284"/>
    </row>
    <row r="14" spans="2:22" ht="30" hidden="1" customHeight="1">
      <c r="B14" s="224">
        <v>112</v>
      </c>
      <c r="C14" s="31" t="s">
        <v>139</v>
      </c>
      <c r="D14" s="31">
        <v>42</v>
      </c>
      <c r="E14" s="34">
        <f>'[2]Price per sqm-FF'!F6</f>
        <v>62000</v>
      </c>
      <c r="F14" s="34">
        <f t="shared" si="0"/>
        <v>66960</v>
      </c>
      <c r="G14" s="34">
        <f t="shared" si="1"/>
        <v>68968.800000000003</v>
      </c>
      <c r="H14" s="34">
        <f t="shared" si="2"/>
        <v>71037.864000000001</v>
      </c>
      <c r="I14" s="262">
        <f t="shared" si="3"/>
        <v>2983590.2880000002</v>
      </c>
      <c r="J14" s="261"/>
      <c r="K14" s="213">
        <v>15000</v>
      </c>
      <c r="M14" s="293">
        <f t="shared" si="4"/>
        <v>283359.02880000003</v>
      </c>
      <c r="N14" s="277">
        <f t="shared" si="5"/>
        <v>47226.504800000002</v>
      </c>
      <c r="O14" s="238">
        <f t="shared" si="6"/>
        <v>22363.252400000001</v>
      </c>
      <c r="P14" s="280">
        <f t="shared" si="7"/>
        <v>149179.51440000001</v>
      </c>
      <c r="Q14" s="62"/>
      <c r="R14" s="238">
        <f t="shared" si="8"/>
        <v>35760.336038920381</v>
      </c>
      <c r="S14" s="62"/>
      <c r="T14" s="238"/>
      <c r="U14" s="284"/>
    </row>
    <row r="15" spans="2:22" ht="12" hidden="1" customHeight="1">
      <c r="B15" s="224">
        <v>113</v>
      </c>
      <c r="C15" s="31" t="s">
        <v>139</v>
      </c>
      <c r="D15" s="31">
        <v>42</v>
      </c>
      <c r="E15" s="34">
        <f>E14</f>
        <v>62000</v>
      </c>
      <c r="F15" s="34">
        <f t="shared" si="0"/>
        <v>66960</v>
      </c>
      <c r="G15" s="34">
        <f t="shared" si="1"/>
        <v>68968.800000000003</v>
      </c>
      <c r="H15" s="34">
        <f t="shared" si="2"/>
        <v>71037.864000000001</v>
      </c>
      <c r="I15" s="262">
        <f t="shared" si="3"/>
        <v>2983590.2880000002</v>
      </c>
      <c r="J15" s="62"/>
      <c r="K15" s="213">
        <v>15000</v>
      </c>
      <c r="M15" s="293">
        <f t="shared" si="4"/>
        <v>283359.02880000003</v>
      </c>
      <c r="N15" s="277">
        <f t="shared" si="5"/>
        <v>47226.504800000002</v>
      </c>
      <c r="O15" s="238">
        <f t="shared" si="6"/>
        <v>22363.252400000001</v>
      </c>
      <c r="P15" s="280">
        <f t="shared" si="7"/>
        <v>149179.51440000001</v>
      </c>
      <c r="Q15" s="62"/>
      <c r="R15" s="238">
        <f t="shared" si="8"/>
        <v>35760.336038920381</v>
      </c>
      <c r="S15" s="62"/>
      <c r="T15" s="238"/>
      <c r="U15" s="284"/>
    </row>
    <row r="16" spans="2:22" ht="12" hidden="1" customHeight="1">
      <c r="B16" s="224">
        <v>114</v>
      </c>
      <c r="C16" s="31" t="s">
        <v>139</v>
      </c>
      <c r="D16" s="31">
        <v>42</v>
      </c>
      <c r="E16" s="34">
        <f>E15</f>
        <v>62000</v>
      </c>
      <c r="F16" s="34">
        <f t="shared" si="0"/>
        <v>66960</v>
      </c>
      <c r="G16" s="34">
        <f t="shared" si="1"/>
        <v>68968.800000000003</v>
      </c>
      <c r="H16" s="34">
        <f t="shared" si="2"/>
        <v>71037.864000000001</v>
      </c>
      <c r="I16" s="262">
        <f t="shared" si="3"/>
        <v>2983590.2880000002</v>
      </c>
      <c r="J16" s="62"/>
      <c r="K16" s="213">
        <v>15000</v>
      </c>
      <c r="M16" s="293">
        <f t="shared" si="4"/>
        <v>283359.02880000003</v>
      </c>
      <c r="N16" s="277">
        <f t="shared" si="5"/>
        <v>47226.504800000002</v>
      </c>
      <c r="O16" s="238">
        <f t="shared" si="6"/>
        <v>22363.252400000001</v>
      </c>
      <c r="P16" s="280">
        <f t="shared" si="7"/>
        <v>149179.51440000001</v>
      </c>
      <c r="Q16" s="62"/>
      <c r="R16" s="238">
        <f t="shared" si="8"/>
        <v>35760.336038920381</v>
      </c>
      <c r="S16" s="62"/>
      <c r="T16" s="238"/>
      <c r="U16" s="284"/>
    </row>
    <row r="17" spans="2:21" ht="12" hidden="1" customHeight="1">
      <c r="B17" s="224">
        <v>115</v>
      </c>
      <c r="C17" s="31" t="s">
        <v>139</v>
      </c>
      <c r="D17" s="31">
        <v>42</v>
      </c>
      <c r="E17" s="34">
        <f>E16</f>
        <v>62000</v>
      </c>
      <c r="F17" s="34">
        <f t="shared" si="0"/>
        <v>66960</v>
      </c>
      <c r="G17" s="34">
        <f t="shared" si="1"/>
        <v>68968.800000000003</v>
      </c>
      <c r="H17" s="34">
        <f t="shared" si="2"/>
        <v>71037.864000000001</v>
      </c>
      <c r="I17" s="262">
        <f t="shared" si="3"/>
        <v>2983590.2880000002</v>
      </c>
      <c r="J17" s="62"/>
      <c r="K17" s="213">
        <v>15000</v>
      </c>
      <c r="M17" s="293">
        <f t="shared" si="4"/>
        <v>283359.02880000003</v>
      </c>
      <c r="N17" s="277">
        <f t="shared" si="5"/>
        <v>47226.504800000002</v>
      </c>
      <c r="O17" s="238">
        <f t="shared" si="6"/>
        <v>22363.252400000001</v>
      </c>
      <c r="P17" s="280">
        <f t="shared" si="7"/>
        <v>149179.51440000001</v>
      </c>
      <c r="Q17" s="62"/>
      <c r="R17" s="238">
        <f t="shared" si="8"/>
        <v>35760.336038920381</v>
      </c>
      <c r="S17" s="62"/>
      <c r="T17" s="238"/>
      <c r="U17" s="284"/>
    </row>
    <row r="18" spans="2:21" ht="12" hidden="1" customHeight="1">
      <c r="B18" s="224">
        <v>116</v>
      </c>
      <c r="C18" s="31" t="s">
        <v>137</v>
      </c>
      <c r="D18" s="31">
        <v>42</v>
      </c>
      <c r="E18" s="34">
        <f>'[2]Price per sqm-FF'!E6</f>
        <v>63500</v>
      </c>
      <c r="F18" s="34">
        <f t="shared" si="0"/>
        <v>68580</v>
      </c>
      <c r="G18" s="34">
        <f t="shared" si="1"/>
        <v>70637.400000000009</v>
      </c>
      <c r="H18" s="34">
        <f t="shared" si="2"/>
        <v>72756.522000000012</v>
      </c>
      <c r="I18" s="262">
        <f t="shared" si="3"/>
        <v>3055773.9240000006</v>
      </c>
      <c r="J18" s="62"/>
      <c r="K18" s="213">
        <v>15000</v>
      </c>
      <c r="M18" s="293">
        <f t="shared" si="4"/>
        <v>290577.39240000007</v>
      </c>
      <c r="N18" s="277">
        <f t="shared" si="5"/>
        <v>48429.565400000014</v>
      </c>
      <c r="O18" s="238">
        <f t="shared" si="6"/>
        <v>22964.782700000007</v>
      </c>
      <c r="P18" s="280">
        <f t="shared" si="7"/>
        <v>152788.69620000003</v>
      </c>
      <c r="Q18" s="62"/>
      <c r="R18" s="238">
        <f t="shared" si="8"/>
        <v>36625.505459216853</v>
      </c>
      <c r="S18" s="62"/>
      <c r="T18" s="238"/>
      <c r="U18" s="284"/>
    </row>
    <row r="19" spans="2:21" ht="12" hidden="1" customHeight="1">
      <c r="B19" s="224">
        <v>117</v>
      </c>
      <c r="C19" s="31" t="s">
        <v>139</v>
      </c>
      <c r="D19" s="31">
        <v>42</v>
      </c>
      <c r="E19" s="34">
        <f>E17</f>
        <v>62000</v>
      </c>
      <c r="F19" s="34">
        <f t="shared" si="0"/>
        <v>66960</v>
      </c>
      <c r="G19" s="34">
        <f t="shared" si="1"/>
        <v>68968.800000000003</v>
      </c>
      <c r="H19" s="34">
        <f t="shared" si="2"/>
        <v>71037.864000000001</v>
      </c>
      <c r="I19" s="262">
        <f t="shared" si="3"/>
        <v>2983590.2880000002</v>
      </c>
      <c r="J19" s="62"/>
      <c r="K19" s="213">
        <v>15000</v>
      </c>
      <c r="M19" s="293">
        <f t="shared" si="4"/>
        <v>283359.02880000003</v>
      </c>
      <c r="N19" s="277">
        <f t="shared" si="5"/>
        <v>47226.504800000002</v>
      </c>
      <c r="O19" s="238">
        <f t="shared" si="6"/>
        <v>22363.252400000001</v>
      </c>
      <c r="P19" s="280">
        <f t="shared" si="7"/>
        <v>149179.51440000001</v>
      </c>
      <c r="Q19" s="62"/>
      <c r="R19" s="238">
        <f t="shared" si="8"/>
        <v>35760.336038920381</v>
      </c>
      <c r="S19" s="62"/>
      <c r="T19" s="238"/>
      <c r="U19" s="284"/>
    </row>
    <row r="20" spans="2:21" ht="12" hidden="1" customHeight="1">
      <c r="B20" s="224">
        <v>118</v>
      </c>
      <c r="C20" s="31" t="s">
        <v>139</v>
      </c>
      <c r="D20" s="31">
        <v>42</v>
      </c>
      <c r="E20" s="34">
        <f>E19</f>
        <v>62000</v>
      </c>
      <c r="F20" s="34">
        <f t="shared" si="0"/>
        <v>66960</v>
      </c>
      <c r="G20" s="34">
        <f t="shared" si="1"/>
        <v>68968.800000000003</v>
      </c>
      <c r="H20" s="34">
        <f t="shared" si="2"/>
        <v>71037.864000000001</v>
      </c>
      <c r="I20" s="262">
        <f t="shared" si="3"/>
        <v>2983590.2880000002</v>
      </c>
      <c r="J20" s="62"/>
      <c r="K20" s="213">
        <v>15000</v>
      </c>
      <c r="M20" s="293">
        <f t="shared" si="4"/>
        <v>283359.02880000003</v>
      </c>
      <c r="N20" s="277">
        <f t="shared" si="5"/>
        <v>47226.504800000002</v>
      </c>
      <c r="O20" s="238">
        <f t="shared" si="6"/>
        <v>22363.252400000001</v>
      </c>
      <c r="P20" s="280">
        <f t="shared" si="7"/>
        <v>149179.51440000001</v>
      </c>
      <c r="Q20" s="62"/>
      <c r="R20" s="238">
        <f t="shared" si="8"/>
        <v>35760.336038920381</v>
      </c>
      <c r="S20" s="62"/>
      <c r="T20" s="238"/>
      <c r="U20" s="284"/>
    </row>
    <row r="21" spans="2:21" ht="12" hidden="1" customHeight="1">
      <c r="B21" s="224">
        <v>119</v>
      </c>
      <c r="C21" s="31" t="s">
        <v>139</v>
      </c>
      <c r="D21" s="31">
        <v>42</v>
      </c>
      <c r="E21" s="34">
        <f>E20</f>
        <v>62000</v>
      </c>
      <c r="F21" s="34">
        <f t="shared" si="0"/>
        <v>66960</v>
      </c>
      <c r="G21" s="34">
        <f t="shared" si="1"/>
        <v>68968.800000000003</v>
      </c>
      <c r="H21" s="34">
        <f t="shared" si="2"/>
        <v>71037.864000000001</v>
      </c>
      <c r="I21" s="262">
        <f t="shared" si="3"/>
        <v>2983590.2880000002</v>
      </c>
      <c r="J21" s="62"/>
      <c r="K21" s="213">
        <v>15000</v>
      </c>
      <c r="M21" s="293">
        <f t="shared" si="4"/>
        <v>283359.02880000003</v>
      </c>
      <c r="N21" s="277">
        <f t="shared" si="5"/>
        <v>47226.504800000002</v>
      </c>
      <c r="O21" s="238">
        <f t="shared" si="6"/>
        <v>22363.252400000001</v>
      </c>
      <c r="P21" s="280">
        <f t="shared" si="7"/>
        <v>149179.51440000001</v>
      </c>
      <c r="Q21" s="62"/>
      <c r="R21" s="238">
        <f t="shared" si="8"/>
        <v>35760.336038920381</v>
      </c>
      <c r="S21" s="62"/>
      <c r="T21" s="238"/>
      <c r="U21" s="284"/>
    </row>
    <row r="22" spans="2:21" ht="12" hidden="1" customHeight="1">
      <c r="B22" s="224">
        <v>120</v>
      </c>
      <c r="C22" s="31" t="s">
        <v>139</v>
      </c>
      <c r="D22" s="31">
        <v>42</v>
      </c>
      <c r="E22" s="34">
        <f>E21</f>
        <v>62000</v>
      </c>
      <c r="F22" s="34">
        <f t="shared" si="0"/>
        <v>66960</v>
      </c>
      <c r="G22" s="34">
        <f t="shared" si="1"/>
        <v>68968.800000000003</v>
      </c>
      <c r="H22" s="34">
        <f t="shared" si="2"/>
        <v>71037.864000000001</v>
      </c>
      <c r="I22" s="262">
        <f t="shared" si="3"/>
        <v>2983590.2880000002</v>
      </c>
      <c r="J22" s="62"/>
      <c r="K22" s="213">
        <v>15000</v>
      </c>
      <c r="M22" s="293">
        <f t="shared" si="4"/>
        <v>283359.02880000003</v>
      </c>
      <c r="N22" s="277">
        <f t="shared" si="5"/>
        <v>47226.504800000002</v>
      </c>
      <c r="O22" s="238">
        <f t="shared" si="6"/>
        <v>22363.252400000001</v>
      </c>
      <c r="P22" s="280">
        <f t="shared" si="7"/>
        <v>149179.51440000001</v>
      </c>
      <c r="Q22" s="62"/>
      <c r="R22" s="238">
        <f t="shared" si="8"/>
        <v>35760.336038920381</v>
      </c>
      <c r="S22" s="62"/>
      <c r="T22" s="238"/>
      <c r="U22" s="284"/>
    </row>
    <row r="23" spans="2:21" ht="12" hidden="1" customHeight="1">
      <c r="B23" s="224">
        <v>121</v>
      </c>
      <c r="C23" s="31" t="s">
        <v>137</v>
      </c>
      <c r="D23" s="31">
        <v>42</v>
      </c>
      <c r="E23" s="34">
        <f>E18</f>
        <v>63500</v>
      </c>
      <c r="F23" s="34">
        <f t="shared" si="0"/>
        <v>68580</v>
      </c>
      <c r="G23" s="34">
        <f t="shared" si="1"/>
        <v>70637.400000000009</v>
      </c>
      <c r="H23" s="34">
        <f t="shared" si="2"/>
        <v>72756.522000000012</v>
      </c>
      <c r="I23" s="262">
        <f t="shared" si="3"/>
        <v>3055773.9240000006</v>
      </c>
      <c r="J23" s="62"/>
      <c r="K23" s="213">
        <v>15000</v>
      </c>
      <c r="M23" s="293">
        <f t="shared" si="4"/>
        <v>290577.39240000007</v>
      </c>
      <c r="N23" s="277">
        <f t="shared" si="5"/>
        <v>48429.565400000014</v>
      </c>
      <c r="O23" s="238">
        <f t="shared" si="6"/>
        <v>22964.782700000007</v>
      </c>
      <c r="P23" s="280">
        <f t="shared" si="7"/>
        <v>152788.69620000003</v>
      </c>
      <c r="Q23" s="62"/>
      <c r="R23" s="238">
        <f t="shared" si="8"/>
        <v>36625.505459216853</v>
      </c>
      <c r="S23" s="62"/>
      <c r="T23" s="238"/>
      <c r="U23" s="284"/>
    </row>
    <row r="24" spans="2:21" ht="24.75" customHeight="1">
      <c r="B24" s="224">
        <v>213</v>
      </c>
      <c r="C24" s="31" t="s">
        <v>139</v>
      </c>
      <c r="D24" s="31">
        <v>42</v>
      </c>
      <c r="E24" s="34">
        <f>'[2]Price per sqm-FF'!F7</f>
        <v>63000</v>
      </c>
      <c r="F24" s="34">
        <f t="shared" si="0"/>
        <v>68040</v>
      </c>
      <c r="G24" s="34">
        <f t="shared" si="1"/>
        <v>70081.2</v>
      </c>
      <c r="H24" s="34">
        <f t="shared" si="2"/>
        <v>72183.635999999999</v>
      </c>
      <c r="I24" s="262">
        <f t="shared" si="3"/>
        <v>3031712.7119999998</v>
      </c>
      <c r="J24" s="261"/>
      <c r="K24" s="213">
        <v>15000</v>
      </c>
      <c r="M24" s="293">
        <f t="shared" si="4"/>
        <v>288171.27120000002</v>
      </c>
      <c r="N24" s="277">
        <f t="shared" si="5"/>
        <v>48028.5452</v>
      </c>
      <c r="O24" s="238">
        <f t="shared" si="6"/>
        <v>22764.2726</v>
      </c>
      <c r="P24" s="280">
        <f t="shared" si="7"/>
        <v>151585.63560000001</v>
      </c>
      <c r="Q24" s="62"/>
      <c r="R24" s="238">
        <f t="shared" si="8"/>
        <v>36951.926763562464</v>
      </c>
      <c r="S24" s="62"/>
      <c r="T24" s="238">
        <v>110666</v>
      </c>
      <c r="U24" s="284"/>
    </row>
    <row r="25" spans="2:21" ht="12" hidden="1" customHeight="1">
      <c r="B25" s="224">
        <v>214</v>
      </c>
      <c r="C25" s="31" t="s">
        <v>139</v>
      </c>
      <c r="D25" s="31">
        <v>42</v>
      </c>
      <c r="E25" s="34">
        <f>E24</f>
        <v>63000</v>
      </c>
      <c r="F25" s="34">
        <f t="shared" si="0"/>
        <v>68040</v>
      </c>
      <c r="G25" s="34">
        <f t="shared" si="1"/>
        <v>70081.2</v>
      </c>
      <c r="H25" s="34">
        <f t="shared" si="2"/>
        <v>72183.635999999999</v>
      </c>
      <c r="I25" s="262">
        <f t="shared" si="3"/>
        <v>3031712.7119999998</v>
      </c>
      <c r="J25" s="62"/>
      <c r="K25" s="213">
        <v>15000</v>
      </c>
      <c r="M25" s="293">
        <f t="shared" si="4"/>
        <v>288171.27120000002</v>
      </c>
      <c r="N25" s="277">
        <f t="shared" si="5"/>
        <v>48028.5452</v>
      </c>
      <c r="O25" s="238">
        <f t="shared" si="6"/>
        <v>22764.2726</v>
      </c>
      <c r="P25" s="280">
        <f t="shared" si="7"/>
        <v>151585.63560000001</v>
      </c>
      <c r="Q25" s="62"/>
      <c r="R25" s="238">
        <f t="shared" si="8"/>
        <v>36337.11565245135</v>
      </c>
      <c r="S25" s="62"/>
      <c r="T25" s="238"/>
      <c r="U25" s="284"/>
    </row>
    <row r="26" spans="2:21" ht="12" hidden="1" customHeight="1">
      <c r="B26" s="224">
        <v>215</v>
      </c>
      <c r="C26" s="31" t="s">
        <v>139</v>
      </c>
      <c r="D26" s="31">
        <v>42</v>
      </c>
      <c r="E26" s="34">
        <f>E25</f>
        <v>63000</v>
      </c>
      <c r="F26" s="34">
        <f t="shared" si="0"/>
        <v>68040</v>
      </c>
      <c r="G26" s="34">
        <f t="shared" si="1"/>
        <v>70081.2</v>
      </c>
      <c r="H26" s="34">
        <f t="shared" si="2"/>
        <v>72183.635999999999</v>
      </c>
      <c r="I26" s="262">
        <f t="shared" si="3"/>
        <v>3031712.7119999998</v>
      </c>
      <c r="J26" s="62"/>
      <c r="K26" s="213">
        <v>15000</v>
      </c>
      <c r="M26" s="293">
        <f t="shared" si="4"/>
        <v>288171.27120000002</v>
      </c>
      <c r="N26" s="277">
        <f t="shared" si="5"/>
        <v>48028.5452</v>
      </c>
      <c r="O26" s="238">
        <f t="shared" si="6"/>
        <v>22764.2726</v>
      </c>
      <c r="P26" s="280">
        <f t="shared" si="7"/>
        <v>151585.63560000001</v>
      </c>
      <c r="Q26" s="62"/>
      <c r="R26" s="238">
        <f t="shared" si="8"/>
        <v>36337.11565245135</v>
      </c>
      <c r="S26" s="62"/>
      <c r="T26" s="238"/>
      <c r="U26" s="284"/>
    </row>
    <row r="27" spans="2:21" ht="12" hidden="1" customHeight="1">
      <c r="B27" s="224">
        <v>216</v>
      </c>
      <c r="C27" s="31" t="s">
        <v>139</v>
      </c>
      <c r="D27" s="31">
        <v>42</v>
      </c>
      <c r="E27" s="34">
        <f>E26</f>
        <v>63000</v>
      </c>
      <c r="F27" s="34">
        <f t="shared" si="0"/>
        <v>68040</v>
      </c>
      <c r="G27" s="34">
        <f t="shared" si="1"/>
        <v>70081.2</v>
      </c>
      <c r="H27" s="34">
        <f t="shared" si="2"/>
        <v>72183.635999999999</v>
      </c>
      <c r="I27" s="262">
        <f t="shared" si="3"/>
        <v>3031712.7119999998</v>
      </c>
      <c r="J27" s="62"/>
      <c r="K27" s="213">
        <v>15000</v>
      </c>
      <c r="M27" s="293">
        <f t="shared" si="4"/>
        <v>288171.27120000002</v>
      </c>
      <c r="N27" s="277">
        <f t="shared" si="5"/>
        <v>48028.5452</v>
      </c>
      <c r="O27" s="238">
        <f t="shared" si="6"/>
        <v>22764.2726</v>
      </c>
      <c r="P27" s="280">
        <f t="shared" si="7"/>
        <v>151585.63560000001</v>
      </c>
      <c r="Q27" s="62"/>
      <c r="R27" s="238">
        <f t="shared" si="8"/>
        <v>36337.11565245135</v>
      </c>
      <c r="S27" s="62"/>
      <c r="T27" s="238"/>
      <c r="U27" s="284"/>
    </row>
    <row r="28" spans="2:21" ht="12" hidden="1" customHeight="1">
      <c r="B28" s="224">
        <v>217</v>
      </c>
      <c r="C28" s="31" t="s">
        <v>139</v>
      </c>
      <c r="D28" s="31">
        <v>42</v>
      </c>
      <c r="E28" s="34">
        <f>E27</f>
        <v>63000</v>
      </c>
      <c r="F28" s="34">
        <f t="shared" si="0"/>
        <v>68040</v>
      </c>
      <c r="G28" s="34">
        <f t="shared" si="1"/>
        <v>70081.2</v>
      </c>
      <c r="H28" s="34">
        <f t="shared" si="2"/>
        <v>72183.635999999999</v>
      </c>
      <c r="I28" s="262">
        <f t="shared" si="3"/>
        <v>3031712.7119999998</v>
      </c>
      <c r="J28" s="62"/>
      <c r="K28" s="213">
        <v>15000</v>
      </c>
      <c r="M28" s="293">
        <f t="shared" si="4"/>
        <v>288171.27120000002</v>
      </c>
      <c r="N28" s="277">
        <f t="shared" si="5"/>
        <v>48028.5452</v>
      </c>
      <c r="O28" s="238">
        <f t="shared" si="6"/>
        <v>22764.2726</v>
      </c>
      <c r="P28" s="280">
        <f t="shared" si="7"/>
        <v>151585.63560000001</v>
      </c>
      <c r="Q28" s="62"/>
      <c r="R28" s="238">
        <f t="shared" si="8"/>
        <v>36337.11565245135</v>
      </c>
      <c r="S28" s="62"/>
      <c r="T28" s="238"/>
      <c r="U28" s="284"/>
    </row>
    <row r="29" spans="2:21" ht="12" hidden="1" customHeight="1">
      <c r="B29" s="224">
        <v>218</v>
      </c>
      <c r="C29" s="31" t="s">
        <v>137</v>
      </c>
      <c r="D29" s="31">
        <v>42</v>
      </c>
      <c r="E29" s="34">
        <f>'[2]Price per sqm-FF'!E7</f>
        <v>64500</v>
      </c>
      <c r="F29" s="34">
        <f t="shared" si="0"/>
        <v>69660</v>
      </c>
      <c r="G29" s="34">
        <f t="shared" si="1"/>
        <v>71749.8</v>
      </c>
      <c r="H29" s="34">
        <f t="shared" si="2"/>
        <v>73902.294000000009</v>
      </c>
      <c r="I29" s="262">
        <f t="shared" si="3"/>
        <v>3103896.3480000002</v>
      </c>
      <c r="J29" s="62"/>
      <c r="K29" s="213">
        <v>15000</v>
      </c>
      <c r="M29" s="293">
        <f t="shared" si="4"/>
        <v>295389.63480000006</v>
      </c>
      <c r="N29" s="277">
        <f t="shared" si="5"/>
        <v>49231.605800000012</v>
      </c>
      <c r="O29" s="238">
        <f t="shared" si="6"/>
        <v>23365.802900000006</v>
      </c>
      <c r="P29" s="280">
        <f t="shared" si="7"/>
        <v>155194.81740000003</v>
      </c>
      <c r="Q29" s="62"/>
      <c r="R29" s="238">
        <f t="shared" si="8"/>
        <v>37202.285072747814</v>
      </c>
      <c r="S29" s="62"/>
      <c r="T29" s="238"/>
      <c r="U29" s="284"/>
    </row>
    <row r="30" spans="2:21" ht="12" hidden="1" customHeight="1">
      <c r="B30" s="224">
        <v>219</v>
      </c>
      <c r="C30" s="31" t="s">
        <v>139</v>
      </c>
      <c r="D30" s="31">
        <v>42</v>
      </c>
      <c r="E30" s="34">
        <f>E28</f>
        <v>63000</v>
      </c>
      <c r="F30" s="34">
        <f t="shared" si="0"/>
        <v>68040</v>
      </c>
      <c r="G30" s="34">
        <f t="shared" si="1"/>
        <v>70081.2</v>
      </c>
      <c r="H30" s="34">
        <f t="shared" si="2"/>
        <v>72183.635999999999</v>
      </c>
      <c r="I30" s="262">
        <f t="shared" si="3"/>
        <v>3031712.7119999998</v>
      </c>
      <c r="J30" s="62"/>
      <c r="K30" s="213">
        <v>15000</v>
      </c>
      <c r="M30" s="293">
        <f t="shared" si="4"/>
        <v>288171.27120000002</v>
      </c>
      <c r="N30" s="277">
        <f t="shared" si="5"/>
        <v>48028.5452</v>
      </c>
      <c r="O30" s="238">
        <f t="shared" si="6"/>
        <v>22764.2726</v>
      </c>
      <c r="P30" s="280">
        <f t="shared" si="7"/>
        <v>151585.63560000001</v>
      </c>
      <c r="Q30" s="62"/>
      <c r="R30" s="238">
        <f t="shared" si="8"/>
        <v>36337.11565245135</v>
      </c>
      <c r="S30" s="62"/>
      <c r="T30" s="238"/>
      <c r="U30" s="284"/>
    </row>
    <row r="31" spans="2:21" ht="12" hidden="1" customHeight="1">
      <c r="B31" s="224">
        <v>220</v>
      </c>
      <c r="C31" s="31" t="s">
        <v>139</v>
      </c>
      <c r="D31" s="31">
        <v>42</v>
      </c>
      <c r="E31" s="34">
        <f>E30</f>
        <v>63000</v>
      </c>
      <c r="F31" s="34">
        <f t="shared" si="0"/>
        <v>68040</v>
      </c>
      <c r="G31" s="34">
        <f t="shared" si="1"/>
        <v>70081.2</v>
      </c>
      <c r="H31" s="34">
        <f t="shared" si="2"/>
        <v>72183.635999999999</v>
      </c>
      <c r="I31" s="262">
        <f t="shared" si="3"/>
        <v>3031712.7119999998</v>
      </c>
      <c r="J31" s="62"/>
      <c r="K31" s="213">
        <v>15000</v>
      </c>
      <c r="M31" s="293">
        <f t="shared" si="4"/>
        <v>288171.27120000002</v>
      </c>
      <c r="N31" s="277">
        <f t="shared" si="5"/>
        <v>48028.5452</v>
      </c>
      <c r="O31" s="238">
        <f t="shared" si="6"/>
        <v>22764.2726</v>
      </c>
      <c r="P31" s="280">
        <f t="shared" si="7"/>
        <v>151585.63560000001</v>
      </c>
      <c r="Q31" s="62"/>
      <c r="R31" s="238">
        <f t="shared" si="8"/>
        <v>36337.11565245135</v>
      </c>
      <c r="S31" s="62"/>
      <c r="T31" s="238"/>
      <c r="U31" s="284"/>
    </row>
    <row r="32" spans="2:21" ht="12" hidden="1" customHeight="1">
      <c r="B32" s="224">
        <v>221</v>
      </c>
      <c r="C32" s="31" t="s">
        <v>139</v>
      </c>
      <c r="D32" s="31">
        <v>42</v>
      </c>
      <c r="E32" s="34">
        <f>E31</f>
        <v>63000</v>
      </c>
      <c r="F32" s="34">
        <f t="shared" si="0"/>
        <v>68040</v>
      </c>
      <c r="G32" s="34">
        <f t="shared" si="1"/>
        <v>70081.2</v>
      </c>
      <c r="H32" s="34">
        <f t="shared" si="2"/>
        <v>72183.635999999999</v>
      </c>
      <c r="I32" s="262">
        <f t="shared" si="3"/>
        <v>3031712.7119999998</v>
      </c>
      <c r="J32" s="62"/>
      <c r="K32" s="213">
        <v>15000</v>
      </c>
      <c r="M32" s="293">
        <f t="shared" si="4"/>
        <v>288171.27120000002</v>
      </c>
      <c r="N32" s="277">
        <f t="shared" si="5"/>
        <v>48028.5452</v>
      </c>
      <c r="O32" s="238">
        <f t="shared" si="6"/>
        <v>22764.2726</v>
      </c>
      <c r="P32" s="280">
        <f t="shared" si="7"/>
        <v>151585.63560000001</v>
      </c>
      <c r="Q32" s="62"/>
      <c r="R32" s="238">
        <f t="shared" si="8"/>
        <v>36337.11565245135</v>
      </c>
      <c r="S32" s="62"/>
      <c r="T32" s="238"/>
      <c r="U32" s="284"/>
    </row>
    <row r="33" spans="2:21" ht="12" hidden="1" customHeight="1">
      <c r="B33" s="224">
        <v>222</v>
      </c>
      <c r="C33" s="31" t="s">
        <v>139</v>
      </c>
      <c r="D33" s="31">
        <v>42</v>
      </c>
      <c r="E33" s="34">
        <f>E32</f>
        <v>63000</v>
      </c>
      <c r="F33" s="34">
        <f t="shared" si="0"/>
        <v>68040</v>
      </c>
      <c r="G33" s="34">
        <f t="shared" si="1"/>
        <v>70081.2</v>
      </c>
      <c r="H33" s="34">
        <f t="shared" si="2"/>
        <v>72183.635999999999</v>
      </c>
      <c r="I33" s="262">
        <f t="shared" si="3"/>
        <v>3031712.7119999998</v>
      </c>
      <c r="J33" s="62"/>
      <c r="K33" s="213">
        <v>15000</v>
      </c>
      <c r="M33" s="293">
        <f t="shared" si="4"/>
        <v>288171.27120000002</v>
      </c>
      <c r="N33" s="277">
        <f t="shared" si="5"/>
        <v>48028.5452</v>
      </c>
      <c r="O33" s="238">
        <f t="shared" si="6"/>
        <v>22764.2726</v>
      </c>
      <c r="P33" s="280">
        <f t="shared" si="7"/>
        <v>151585.63560000001</v>
      </c>
      <c r="Q33" s="62"/>
      <c r="R33" s="238">
        <f t="shared" si="8"/>
        <v>36337.11565245135</v>
      </c>
      <c r="S33" s="62"/>
      <c r="T33" s="238"/>
      <c r="U33" s="284"/>
    </row>
    <row r="34" spans="2:21" ht="12" hidden="1" customHeight="1">
      <c r="B34" s="224">
        <v>223</v>
      </c>
      <c r="C34" s="31" t="s">
        <v>137</v>
      </c>
      <c r="D34" s="31">
        <v>42</v>
      </c>
      <c r="E34" s="34">
        <f>E29</f>
        <v>64500</v>
      </c>
      <c r="F34" s="34">
        <f t="shared" si="0"/>
        <v>69660</v>
      </c>
      <c r="G34" s="34">
        <f t="shared" si="1"/>
        <v>71749.8</v>
      </c>
      <c r="H34" s="34">
        <f t="shared" si="2"/>
        <v>73902.294000000009</v>
      </c>
      <c r="I34" s="262">
        <f t="shared" si="3"/>
        <v>3103896.3480000002</v>
      </c>
      <c r="J34" s="62"/>
      <c r="K34" s="213">
        <v>15000</v>
      </c>
      <c r="M34" s="293">
        <f t="shared" si="4"/>
        <v>295389.63480000006</v>
      </c>
      <c r="N34" s="277">
        <f t="shared" si="5"/>
        <v>49231.605800000012</v>
      </c>
      <c r="O34" s="238">
        <f t="shared" si="6"/>
        <v>23365.802900000006</v>
      </c>
      <c r="P34" s="280">
        <f t="shared" si="7"/>
        <v>155194.81740000003</v>
      </c>
      <c r="Q34" s="62"/>
      <c r="R34" s="238">
        <f t="shared" si="8"/>
        <v>37202.285072747814</v>
      </c>
      <c r="S34" s="62"/>
      <c r="T34" s="238"/>
      <c r="U34" s="284"/>
    </row>
    <row r="35" spans="2:21" ht="30" customHeight="1">
      <c r="B35" s="224">
        <v>314</v>
      </c>
      <c r="C35" s="31" t="s">
        <v>139</v>
      </c>
      <c r="D35" s="31">
        <v>42</v>
      </c>
      <c r="E35" s="34">
        <f>'[2]Price per sqm-FF'!F8</f>
        <v>64000</v>
      </c>
      <c r="F35" s="34">
        <f t="shared" si="0"/>
        <v>69120</v>
      </c>
      <c r="G35" s="34">
        <f t="shared" si="1"/>
        <v>71193.600000000006</v>
      </c>
      <c r="H35" s="34">
        <f t="shared" si="2"/>
        <v>73329.40800000001</v>
      </c>
      <c r="I35" s="262">
        <f t="shared" si="3"/>
        <v>3079835.1360000004</v>
      </c>
      <c r="J35" s="261"/>
      <c r="K35" s="213">
        <v>15000</v>
      </c>
      <c r="M35" s="293">
        <f t="shared" si="4"/>
        <v>292983.51360000006</v>
      </c>
      <c r="N35" s="277">
        <f t="shared" si="5"/>
        <v>48830.585600000013</v>
      </c>
      <c r="O35" s="238">
        <f t="shared" si="6"/>
        <v>23165.292800000007</v>
      </c>
      <c r="P35" s="280">
        <f t="shared" si="7"/>
        <v>153991.75680000003</v>
      </c>
      <c r="Q35" s="62"/>
      <c r="R35" s="238">
        <f t="shared" si="8"/>
        <v>37537.395265982326</v>
      </c>
      <c r="S35" s="62"/>
      <c r="T35" s="238">
        <v>112230</v>
      </c>
      <c r="U35" s="284"/>
    </row>
    <row r="36" spans="2:21">
      <c r="B36" s="224">
        <v>315</v>
      </c>
      <c r="C36" s="31" t="s">
        <v>139</v>
      </c>
      <c r="D36" s="31">
        <v>42</v>
      </c>
      <c r="E36" s="34">
        <f>E35</f>
        <v>64000</v>
      </c>
      <c r="F36" s="34">
        <f t="shared" si="0"/>
        <v>69120</v>
      </c>
      <c r="G36" s="34">
        <f t="shared" si="1"/>
        <v>71193.600000000006</v>
      </c>
      <c r="H36" s="34">
        <f t="shared" si="2"/>
        <v>73329.40800000001</v>
      </c>
      <c r="I36" s="262">
        <f t="shared" si="3"/>
        <v>3079835.1360000004</v>
      </c>
      <c r="J36" s="62"/>
      <c r="K36" s="213">
        <v>15000</v>
      </c>
      <c r="M36" s="293">
        <f t="shared" si="4"/>
        <v>292983.51360000006</v>
      </c>
      <c r="N36" s="277">
        <f t="shared" si="5"/>
        <v>48830.585600000013</v>
      </c>
      <c r="O36" s="238">
        <f t="shared" si="6"/>
        <v>23165.292800000007</v>
      </c>
      <c r="P36" s="280">
        <f t="shared" si="7"/>
        <v>153991.75680000003</v>
      </c>
      <c r="Q36" s="62"/>
      <c r="R36" s="238">
        <f t="shared" si="8"/>
        <v>37537.395265982326</v>
      </c>
      <c r="S36" s="62"/>
      <c r="T36" s="238">
        <v>112230</v>
      </c>
      <c r="U36" s="284"/>
    </row>
    <row r="37" spans="2:21">
      <c r="B37" s="224">
        <v>316</v>
      </c>
      <c r="C37" s="31" t="s">
        <v>139</v>
      </c>
      <c r="D37" s="31">
        <v>42</v>
      </c>
      <c r="E37" s="34">
        <f>E36</f>
        <v>64000</v>
      </c>
      <c r="F37" s="34">
        <f t="shared" si="0"/>
        <v>69120</v>
      </c>
      <c r="G37" s="34">
        <f t="shared" si="1"/>
        <v>71193.600000000006</v>
      </c>
      <c r="H37" s="34">
        <f t="shared" si="2"/>
        <v>73329.40800000001</v>
      </c>
      <c r="I37" s="262">
        <f t="shared" si="3"/>
        <v>3079835.1360000004</v>
      </c>
      <c r="J37" s="62"/>
      <c r="K37" s="213">
        <v>15000</v>
      </c>
      <c r="M37" s="293">
        <f t="shared" si="4"/>
        <v>292983.51360000006</v>
      </c>
      <c r="N37" s="277">
        <f t="shared" si="5"/>
        <v>48830.585600000013</v>
      </c>
      <c r="O37" s="238">
        <f t="shared" si="6"/>
        <v>23165.292800000007</v>
      </c>
      <c r="P37" s="280">
        <f t="shared" si="7"/>
        <v>153991.75680000003</v>
      </c>
      <c r="Q37" s="62"/>
      <c r="R37" s="238">
        <f t="shared" si="8"/>
        <v>37537.395265982326</v>
      </c>
      <c r="S37" s="62"/>
      <c r="T37" s="238">
        <v>112230</v>
      </c>
      <c r="U37" s="284"/>
    </row>
    <row r="38" spans="2:21">
      <c r="B38" s="224">
        <v>317</v>
      </c>
      <c r="C38" s="31" t="s">
        <v>139</v>
      </c>
      <c r="D38" s="31">
        <v>42</v>
      </c>
      <c r="E38" s="34">
        <f>E37</f>
        <v>64000</v>
      </c>
      <c r="F38" s="34">
        <f t="shared" si="0"/>
        <v>69120</v>
      </c>
      <c r="G38" s="34">
        <f t="shared" si="1"/>
        <v>71193.600000000006</v>
      </c>
      <c r="H38" s="34">
        <f t="shared" si="2"/>
        <v>73329.40800000001</v>
      </c>
      <c r="I38" s="262">
        <f t="shared" si="3"/>
        <v>3079835.1360000004</v>
      </c>
      <c r="J38" s="62"/>
      <c r="K38" s="213">
        <v>15000</v>
      </c>
      <c r="M38" s="293">
        <f t="shared" si="4"/>
        <v>292983.51360000006</v>
      </c>
      <c r="N38" s="277">
        <f t="shared" si="5"/>
        <v>48830.585600000013</v>
      </c>
      <c r="O38" s="238">
        <f t="shared" si="6"/>
        <v>23165.292800000007</v>
      </c>
      <c r="P38" s="280">
        <f t="shared" si="7"/>
        <v>153991.75680000003</v>
      </c>
      <c r="Q38" s="62"/>
      <c r="R38" s="238">
        <f t="shared" si="8"/>
        <v>37537.395265982326</v>
      </c>
      <c r="S38" s="62"/>
      <c r="T38" s="238">
        <v>112230</v>
      </c>
      <c r="U38" s="284"/>
    </row>
    <row r="39" spans="2:21">
      <c r="B39" s="224">
        <v>318</v>
      </c>
      <c r="C39" s="31" t="s">
        <v>139</v>
      </c>
      <c r="D39" s="31">
        <v>42</v>
      </c>
      <c r="E39" s="34">
        <f>E38</f>
        <v>64000</v>
      </c>
      <c r="F39" s="34">
        <f t="shared" si="0"/>
        <v>69120</v>
      </c>
      <c r="G39" s="34">
        <f t="shared" si="1"/>
        <v>71193.600000000006</v>
      </c>
      <c r="H39" s="34">
        <f t="shared" si="2"/>
        <v>73329.40800000001</v>
      </c>
      <c r="I39" s="262">
        <f t="shared" si="3"/>
        <v>3079835.1360000004</v>
      </c>
      <c r="J39" s="62"/>
      <c r="K39" s="213">
        <v>15000</v>
      </c>
      <c r="M39" s="293">
        <f t="shared" si="4"/>
        <v>292983.51360000006</v>
      </c>
      <c r="N39" s="277">
        <f t="shared" si="5"/>
        <v>48830.585600000013</v>
      </c>
      <c r="O39" s="238">
        <f t="shared" si="6"/>
        <v>23165.292800000007</v>
      </c>
      <c r="P39" s="280">
        <f t="shared" si="7"/>
        <v>153991.75680000003</v>
      </c>
      <c r="Q39" s="62"/>
      <c r="R39" s="238">
        <f t="shared" si="8"/>
        <v>37537.395265982326</v>
      </c>
      <c r="S39" s="62"/>
      <c r="T39" s="238">
        <v>112230</v>
      </c>
      <c r="U39" s="284"/>
    </row>
    <row r="40" spans="2:21" ht="12" hidden="1" customHeight="1">
      <c r="B40" s="224">
        <v>319</v>
      </c>
      <c r="C40" s="31" t="s">
        <v>142</v>
      </c>
      <c r="D40" s="31">
        <v>42</v>
      </c>
      <c r="E40" s="34">
        <f>'[2]Price per sqm-FF'!B8</f>
        <v>70000</v>
      </c>
      <c r="F40" s="34">
        <f t="shared" si="0"/>
        <v>75600</v>
      </c>
      <c r="G40" s="34">
        <f t="shared" si="1"/>
        <v>77868</v>
      </c>
      <c r="H40" s="34">
        <f t="shared" si="2"/>
        <v>80204.040000000008</v>
      </c>
      <c r="I40" s="262">
        <f t="shared" si="3"/>
        <v>3368569.68</v>
      </c>
      <c r="J40" s="62"/>
      <c r="K40" s="213">
        <v>15000</v>
      </c>
      <c r="M40" s="293">
        <f t="shared" si="4"/>
        <v>321856.96800000005</v>
      </c>
      <c r="N40" s="277">
        <f t="shared" si="5"/>
        <v>53642.828000000009</v>
      </c>
      <c r="O40" s="238">
        <f t="shared" si="6"/>
        <v>25571.414000000004</v>
      </c>
      <c r="P40" s="280">
        <f t="shared" si="7"/>
        <v>168428.48400000003</v>
      </c>
      <c r="Q40" s="62"/>
      <c r="R40" s="238">
        <f t="shared" si="8"/>
        <v>40374.572947168177</v>
      </c>
      <c r="S40" s="62"/>
      <c r="T40" s="238"/>
      <c r="U40" s="284"/>
    </row>
    <row r="41" spans="2:21" ht="12" hidden="1" customHeight="1">
      <c r="B41" s="224">
        <v>320</v>
      </c>
      <c r="C41" s="31" t="s">
        <v>143</v>
      </c>
      <c r="D41" s="31">
        <v>42</v>
      </c>
      <c r="E41" s="34">
        <f>'[2]Price per sqm-FF'!D8</f>
        <v>67000</v>
      </c>
      <c r="F41" s="34">
        <f t="shared" si="0"/>
        <v>72360</v>
      </c>
      <c r="G41" s="34">
        <f t="shared" si="1"/>
        <v>74530.8</v>
      </c>
      <c r="H41" s="34">
        <f t="shared" si="2"/>
        <v>76766.724000000002</v>
      </c>
      <c r="I41" s="262">
        <f t="shared" si="3"/>
        <v>3224202.4080000003</v>
      </c>
      <c r="J41" s="62"/>
      <c r="K41" s="213">
        <v>15000</v>
      </c>
      <c r="M41" s="293">
        <f t="shared" si="4"/>
        <v>307420.24080000003</v>
      </c>
      <c r="N41" s="277">
        <f t="shared" si="5"/>
        <v>51236.706800000007</v>
      </c>
      <c r="O41" s="238">
        <f t="shared" si="6"/>
        <v>24368.353400000004</v>
      </c>
      <c r="P41" s="280">
        <f t="shared" si="7"/>
        <v>161210.12040000001</v>
      </c>
      <c r="Q41" s="62"/>
      <c r="R41" s="238">
        <f t="shared" si="8"/>
        <v>38644.234106575255</v>
      </c>
      <c r="S41" s="62"/>
      <c r="T41" s="238"/>
      <c r="U41" s="284"/>
    </row>
    <row r="42" spans="2:21" ht="12" hidden="1" customHeight="1">
      <c r="B42" s="224">
        <v>321</v>
      </c>
      <c r="C42" s="31" t="s">
        <v>139</v>
      </c>
      <c r="D42" s="31">
        <v>42</v>
      </c>
      <c r="E42" s="34">
        <f>E39</f>
        <v>64000</v>
      </c>
      <c r="F42" s="34">
        <f t="shared" si="0"/>
        <v>69120</v>
      </c>
      <c r="G42" s="34">
        <f t="shared" si="1"/>
        <v>71193.600000000006</v>
      </c>
      <c r="H42" s="34">
        <f t="shared" si="2"/>
        <v>73329.40800000001</v>
      </c>
      <c r="I42" s="262">
        <f t="shared" si="3"/>
        <v>3079835.1360000004</v>
      </c>
      <c r="J42" s="62"/>
      <c r="K42" s="213">
        <v>15000</v>
      </c>
      <c r="M42" s="293">
        <f t="shared" si="4"/>
        <v>292983.51360000006</v>
      </c>
      <c r="N42" s="277">
        <f t="shared" si="5"/>
        <v>48830.585600000013</v>
      </c>
      <c r="O42" s="238">
        <f t="shared" si="6"/>
        <v>23165.292800000007</v>
      </c>
      <c r="P42" s="280">
        <f t="shared" si="7"/>
        <v>153991.75680000003</v>
      </c>
      <c r="Q42" s="62"/>
      <c r="R42" s="238">
        <f t="shared" si="8"/>
        <v>36913.895265982326</v>
      </c>
      <c r="S42" s="62"/>
      <c r="T42" s="238"/>
      <c r="U42" s="284"/>
    </row>
    <row r="43" spans="2:21" ht="12" hidden="1" customHeight="1">
      <c r="B43" s="224">
        <v>322</v>
      </c>
      <c r="C43" s="31" t="s">
        <v>139</v>
      </c>
      <c r="D43" s="31">
        <v>42</v>
      </c>
      <c r="E43" s="34">
        <f>E42</f>
        <v>64000</v>
      </c>
      <c r="F43" s="34">
        <f t="shared" si="0"/>
        <v>69120</v>
      </c>
      <c r="G43" s="34">
        <f t="shared" si="1"/>
        <v>71193.600000000006</v>
      </c>
      <c r="H43" s="34">
        <f t="shared" si="2"/>
        <v>73329.40800000001</v>
      </c>
      <c r="I43" s="262">
        <f t="shared" si="3"/>
        <v>3079835.1360000004</v>
      </c>
      <c r="J43" s="62"/>
      <c r="K43" s="213">
        <v>15000</v>
      </c>
      <c r="M43" s="293">
        <f t="shared" si="4"/>
        <v>292983.51360000006</v>
      </c>
      <c r="N43" s="277">
        <f t="shared" si="5"/>
        <v>48830.585600000013</v>
      </c>
      <c r="O43" s="238">
        <f t="shared" si="6"/>
        <v>23165.292800000007</v>
      </c>
      <c r="P43" s="280">
        <f t="shared" si="7"/>
        <v>153991.75680000003</v>
      </c>
      <c r="Q43" s="62"/>
      <c r="R43" s="238">
        <f t="shared" si="8"/>
        <v>36913.895265982326</v>
      </c>
      <c r="S43" s="62"/>
      <c r="T43" s="238"/>
      <c r="U43" s="284"/>
    </row>
    <row r="44" spans="2:21" ht="12" hidden="1" customHeight="1">
      <c r="B44" s="224">
        <v>323</v>
      </c>
      <c r="C44" s="31" t="s">
        <v>143</v>
      </c>
      <c r="D44" s="31">
        <v>42</v>
      </c>
      <c r="E44" s="34">
        <f>E41</f>
        <v>67000</v>
      </c>
      <c r="F44" s="34">
        <f t="shared" ref="F44:F75" si="9">E44*1.08</f>
        <v>72360</v>
      </c>
      <c r="G44" s="34">
        <f t="shared" ref="G44:G75" si="10">F44*1.03</f>
        <v>74530.8</v>
      </c>
      <c r="H44" s="34">
        <f t="shared" si="2"/>
        <v>76766.724000000002</v>
      </c>
      <c r="I44" s="262">
        <f t="shared" si="3"/>
        <v>3224202.4080000003</v>
      </c>
      <c r="J44" s="62"/>
      <c r="K44" s="213">
        <v>15000</v>
      </c>
      <c r="M44" s="293">
        <f t="shared" si="4"/>
        <v>307420.24080000003</v>
      </c>
      <c r="N44" s="277">
        <f t="shared" si="5"/>
        <v>51236.706800000007</v>
      </c>
      <c r="O44" s="238">
        <f t="shared" si="6"/>
        <v>24368.353400000004</v>
      </c>
      <c r="P44" s="280">
        <f t="shared" si="7"/>
        <v>161210.12040000001</v>
      </c>
      <c r="Q44" s="62"/>
      <c r="R44" s="238">
        <f t="shared" si="8"/>
        <v>38644.234106575255</v>
      </c>
      <c r="S44" s="62"/>
      <c r="T44" s="238"/>
      <c r="U44" s="284"/>
    </row>
    <row r="45" spans="2:21" ht="12" hidden="1" customHeight="1">
      <c r="B45" s="224">
        <v>324</v>
      </c>
      <c r="C45" s="31" t="s">
        <v>142</v>
      </c>
      <c r="D45" s="31">
        <v>42</v>
      </c>
      <c r="E45" s="34">
        <f>E40</f>
        <v>70000</v>
      </c>
      <c r="F45" s="34">
        <f t="shared" si="9"/>
        <v>75600</v>
      </c>
      <c r="G45" s="34">
        <f t="shared" si="10"/>
        <v>77868</v>
      </c>
      <c r="H45" s="34">
        <f t="shared" si="2"/>
        <v>80204.040000000008</v>
      </c>
      <c r="I45" s="262">
        <f t="shared" si="3"/>
        <v>3368569.68</v>
      </c>
      <c r="J45" s="62"/>
      <c r="K45" s="213">
        <v>15000</v>
      </c>
      <c r="M45" s="293">
        <f t="shared" si="4"/>
        <v>321856.96800000005</v>
      </c>
      <c r="N45" s="277">
        <f t="shared" si="5"/>
        <v>53642.828000000009</v>
      </c>
      <c r="O45" s="238">
        <f t="shared" si="6"/>
        <v>25571.414000000004</v>
      </c>
      <c r="P45" s="280">
        <f t="shared" si="7"/>
        <v>168428.48400000003</v>
      </c>
      <c r="Q45" s="62"/>
      <c r="R45" s="238">
        <f t="shared" si="8"/>
        <v>40374.572947168177</v>
      </c>
      <c r="S45" s="62"/>
      <c r="T45" s="238"/>
      <c r="U45" s="284"/>
    </row>
    <row r="46" spans="2:21" ht="30" customHeight="1">
      <c r="B46" s="224">
        <v>414</v>
      </c>
      <c r="C46" s="31" t="s">
        <v>139</v>
      </c>
      <c r="D46" s="31">
        <v>42</v>
      </c>
      <c r="E46" s="34">
        <f>'[2]Price per sqm-FF'!F9</f>
        <v>65000</v>
      </c>
      <c r="F46" s="34">
        <f t="shared" si="9"/>
        <v>70200</v>
      </c>
      <c r="G46" s="34">
        <f t="shared" si="10"/>
        <v>72306</v>
      </c>
      <c r="H46" s="34">
        <f t="shared" si="2"/>
        <v>74475.180000000008</v>
      </c>
      <c r="I46" s="262">
        <f t="shared" si="3"/>
        <v>3127957.5600000005</v>
      </c>
      <c r="J46" s="261"/>
      <c r="K46" s="213">
        <v>15000</v>
      </c>
      <c r="M46" s="293">
        <f t="shared" si="4"/>
        <v>297795.75600000005</v>
      </c>
      <c r="N46" s="277">
        <f t="shared" si="5"/>
        <v>49632.626000000011</v>
      </c>
      <c r="O46" s="238">
        <f t="shared" si="6"/>
        <v>23566.313000000006</v>
      </c>
      <c r="P46" s="280">
        <f t="shared" si="7"/>
        <v>156397.87800000003</v>
      </c>
      <c r="Q46" s="62"/>
      <c r="R46" s="238">
        <f t="shared" si="8"/>
        <v>38122.863768402196</v>
      </c>
      <c r="S46" s="62"/>
      <c r="T46" s="238">
        <v>113794</v>
      </c>
      <c r="U46" s="284"/>
    </row>
    <row r="47" spans="2:21">
      <c r="B47" s="224">
        <v>415</v>
      </c>
      <c r="C47" s="31" t="s">
        <v>139</v>
      </c>
      <c r="D47" s="31">
        <v>42</v>
      </c>
      <c r="E47" s="34">
        <f>E46</f>
        <v>65000</v>
      </c>
      <c r="F47" s="34">
        <f t="shared" si="9"/>
        <v>70200</v>
      </c>
      <c r="G47" s="34">
        <f t="shared" si="10"/>
        <v>72306</v>
      </c>
      <c r="H47" s="34">
        <f t="shared" si="2"/>
        <v>74475.180000000008</v>
      </c>
      <c r="I47" s="262">
        <f t="shared" si="3"/>
        <v>3127957.5600000005</v>
      </c>
      <c r="J47" s="62"/>
      <c r="K47" s="213">
        <v>15000</v>
      </c>
      <c r="M47" s="293">
        <f t="shared" si="4"/>
        <v>297795.75600000005</v>
      </c>
      <c r="N47" s="277">
        <f t="shared" si="5"/>
        <v>49632.626000000011</v>
      </c>
      <c r="O47" s="238">
        <f t="shared" si="6"/>
        <v>23566.313000000006</v>
      </c>
      <c r="P47" s="280">
        <f t="shared" si="7"/>
        <v>156397.87800000003</v>
      </c>
      <c r="Q47" s="62"/>
      <c r="R47" s="238">
        <f t="shared" si="8"/>
        <v>38122.863768402196</v>
      </c>
      <c r="S47" s="62"/>
      <c r="T47" s="238">
        <v>113794</v>
      </c>
      <c r="U47" s="284"/>
    </row>
    <row r="48" spans="2:21">
      <c r="B48" s="224">
        <v>416</v>
      </c>
      <c r="C48" s="31" t="s">
        <v>139</v>
      </c>
      <c r="D48" s="31">
        <v>42</v>
      </c>
      <c r="E48" s="34">
        <f>E47</f>
        <v>65000</v>
      </c>
      <c r="F48" s="34">
        <f t="shared" si="9"/>
        <v>70200</v>
      </c>
      <c r="G48" s="34">
        <f t="shared" si="10"/>
        <v>72306</v>
      </c>
      <c r="H48" s="34">
        <f t="shared" si="2"/>
        <v>74475.180000000008</v>
      </c>
      <c r="I48" s="262">
        <f t="shared" si="3"/>
        <v>3127957.5600000005</v>
      </c>
      <c r="J48" s="62"/>
      <c r="K48" s="213">
        <v>15000</v>
      </c>
      <c r="M48" s="293">
        <f t="shared" si="4"/>
        <v>297795.75600000005</v>
      </c>
      <c r="N48" s="277">
        <f t="shared" si="5"/>
        <v>49632.626000000011</v>
      </c>
      <c r="O48" s="238">
        <f t="shared" si="6"/>
        <v>23566.313000000006</v>
      </c>
      <c r="P48" s="280">
        <f t="shared" si="7"/>
        <v>156397.87800000003</v>
      </c>
      <c r="Q48" s="62"/>
      <c r="R48" s="238">
        <f t="shared" si="8"/>
        <v>38122.863768402196</v>
      </c>
      <c r="S48" s="62"/>
      <c r="T48" s="238">
        <v>113794</v>
      </c>
      <c r="U48" s="284"/>
    </row>
    <row r="49" spans="2:21">
      <c r="B49" s="224">
        <v>417</v>
      </c>
      <c r="C49" s="31" t="s">
        <v>139</v>
      </c>
      <c r="D49" s="31">
        <v>42</v>
      </c>
      <c r="E49" s="34">
        <f>E48</f>
        <v>65000</v>
      </c>
      <c r="F49" s="34">
        <f t="shared" si="9"/>
        <v>70200</v>
      </c>
      <c r="G49" s="34">
        <f t="shared" si="10"/>
        <v>72306</v>
      </c>
      <c r="H49" s="34">
        <f t="shared" si="2"/>
        <v>74475.180000000008</v>
      </c>
      <c r="I49" s="262">
        <f t="shared" si="3"/>
        <v>3127957.5600000005</v>
      </c>
      <c r="J49" s="62"/>
      <c r="K49" s="213">
        <v>15000</v>
      </c>
      <c r="M49" s="293">
        <f t="shared" si="4"/>
        <v>297795.75600000005</v>
      </c>
      <c r="N49" s="277">
        <f t="shared" si="5"/>
        <v>49632.626000000011</v>
      </c>
      <c r="O49" s="238">
        <f t="shared" si="6"/>
        <v>23566.313000000006</v>
      </c>
      <c r="P49" s="280">
        <f t="shared" si="7"/>
        <v>156397.87800000003</v>
      </c>
      <c r="Q49" s="62"/>
      <c r="R49" s="238">
        <f t="shared" si="8"/>
        <v>38122.863768402196</v>
      </c>
      <c r="S49" s="62"/>
      <c r="T49" s="238">
        <v>113794</v>
      </c>
      <c r="U49" s="284"/>
    </row>
    <row r="50" spans="2:21" ht="12" hidden="1" customHeight="1">
      <c r="B50" s="224">
        <v>418</v>
      </c>
      <c r="C50" s="31" t="s">
        <v>139</v>
      </c>
      <c r="D50" s="31">
        <v>42</v>
      </c>
      <c r="E50" s="34">
        <f>E49</f>
        <v>65000</v>
      </c>
      <c r="F50" s="34">
        <f t="shared" si="9"/>
        <v>70200</v>
      </c>
      <c r="G50" s="34">
        <f t="shared" si="10"/>
        <v>72306</v>
      </c>
      <c r="H50" s="34">
        <f t="shared" si="2"/>
        <v>74475.180000000008</v>
      </c>
      <c r="I50" s="262">
        <f t="shared" si="3"/>
        <v>3127957.5600000005</v>
      </c>
      <c r="J50" s="62"/>
      <c r="K50" s="213">
        <v>15000</v>
      </c>
      <c r="M50" s="293">
        <f t="shared" si="4"/>
        <v>297795.75600000005</v>
      </c>
      <c r="N50" s="277">
        <f t="shared" si="5"/>
        <v>49632.626000000011</v>
      </c>
      <c r="O50" s="238">
        <f t="shared" si="6"/>
        <v>23566.313000000006</v>
      </c>
      <c r="P50" s="280">
        <f t="shared" si="7"/>
        <v>156397.87800000003</v>
      </c>
      <c r="Q50" s="62"/>
      <c r="R50" s="238">
        <f t="shared" si="8"/>
        <v>37490.67487951331</v>
      </c>
      <c r="S50" s="62"/>
      <c r="T50" s="238"/>
      <c r="U50" s="284"/>
    </row>
    <row r="51" spans="2:21" ht="12" hidden="1" customHeight="1">
      <c r="B51" s="224">
        <v>419</v>
      </c>
      <c r="C51" s="31" t="s">
        <v>142</v>
      </c>
      <c r="D51" s="31">
        <v>42</v>
      </c>
      <c r="E51" s="34">
        <f>'[2]Price per sqm-FF'!B9</f>
        <v>71000</v>
      </c>
      <c r="F51" s="34">
        <f t="shared" si="9"/>
        <v>76680</v>
      </c>
      <c r="G51" s="34">
        <f t="shared" si="10"/>
        <v>78980.400000000009</v>
      </c>
      <c r="H51" s="34">
        <f t="shared" si="2"/>
        <v>81349.812000000005</v>
      </c>
      <c r="I51" s="262">
        <f t="shared" si="3"/>
        <v>3416692.1040000003</v>
      </c>
      <c r="J51" s="62"/>
      <c r="K51" s="213">
        <v>15000</v>
      </c>
      <c r="M51" s="293">
        <f t="shared" si="4"/>
        <v>326669.21040000004</v>
      </c>
      <c r="N51" s="277">
        <f t="shared" si="5"/>
        <v>54444.868400000007</v>
      </c>
      <c r="O51" s="238">
        <f t="shared" si="6"/>
        <v>25972.434200000003</v>
      </c>
      <c r="P51" s="280">
        <f t="shared" si="7"/>
        <v>170834.60520000002</v>
      </c>
      <c r="Q51" s="62"/>
      <c r="R51" s="238">
        <f t="shared" si="8"/>
        <v>40951.352560699153</v>
      </c>
      <c r="S51" s="62"/>
      <c r="T51" s="238"/>
      <c r="U51" s="284"/>
    </row>
    <row r="52" spans="2:21" ht="12" hidden="1" customHeight="1">
      <c r="B52" s="224">
        <v>420</v>
      </c>
      <c r="C52" s="31" t="s">
        <v>143</v>
      </c>
      <c r="D52" s="31">
        <v>42</v>
      </c>
      <c r="E52" s="34">
        <f>'[2]Price per sqm-FF'!D9</f>
        <v>68000</v>
      </c>
      <c r="F52" s="34">
        <f t="shared" si="9"/>
        <v>73440</v>
      </c>
      <c r="G52" s="34">
        <f t="shared" si="10"/>
        <v>75643.199999999997</v>
      </c>
      <c r="H52" s="34">
        <f t="shared" si="2"/>
        <v>77912.495999999999</v>
      </c>
      <c r="I52" s="262">
        <f t="shared" si="3"/>
        <v>3272324.8319999999</v>
      </c>
      <c r="J52" s="62"/>
      <c r="K52" s="213">
        <v>15000</v>
      </c>
      <c r="M52" s="293">
        <f t="shared" si="4"/>
        <v>312232.48320000002</v>
      </c>
      <c r="N52" s="277">
        <f t="shared" si="5"/>
        <v>52038.747200000005</v>
      </c>
      <c r="O52" s="238">
        <f t="shared" si="6"/>
        <v>24769.373600000003</v>
      </c>
      <c r="P52" s="280">
        <f t="shared" si="7"/>
        <v>163616.24160000001</v>
      </c>
      <c r="Q52" s="62"/>
      <c r="R52" s="238">
        <f t="shared" si="8"/>
        <v>39221.013720106217</v>
      </c>
      <c r="S52" s="62"/>
      <c r="T52" s="238"/>
      <c r="U52" s="284"/>
    </row>
    <row r="53" spans="2:21" ht="12" hidden="1" customHeight="1">
      <c r="B53" s="224">
        <v>421</v>
      </c>
      <c r="C53" s="31" t="s">
        <v>139</v>
      </c>
      <c r="D53" s="31">
        <v>42</v>
      </c>
      <c r="E53" s="34">
        <f>E50</f>
        <v>65000</v>
      </c>
      <c r="F53" s="34">
        <f t="shared" si="9"/>
        <v>70200</v>
      </c>
      <c r="G53" s="34">
        <f t="shared" si="10"/>
        <v>72306</v>
      </c>
      <c r="H53" s="34">
        <f t="shared" si="2"/>
        <v>74475.180000000008</v>
      </c>
      <c r="I53" s="262">
        <f t="shared" si="3"/>
        <v>3127957.5600000005</v>
      </c>
      <c r="J53" s="62"/>
      <c r="K53" s="213">
        <v>15000</v>
      </c>
      <c r="M53" s="293">
        <f t="shared" si="4"/>
        <v>297795.75600000005</v>
      </c>
      <c r="N53" s="277">
        <f t="shared" si="5"/>
        <v>49632.626000000011</v>
      </c>
      <c r="O53" s="238">
        <f t="shared" si="6"/>
        <v>23566.313000000006</v>
      </c>
      <c r="P53" s="280">
        <f t="shared" si="7"/>
        <v>156397.87800000003</v>
      </c>
      <c r="Q53" s="62"/>
      <c r="R53" s="238">
        <f t="shared" si="8"/>
        <v>37490.67487951331</v>
      </c>
      <c r="S53" s="62"/>
      <c r="T53" s="238"/>
      <c r="U53" s="284"/>
    </row>
    <row r="54" spans="2:21" ht="12" hidden="1" customHeight="1">
      <c r="B54" s="224">
        <v>422</v>
      </c>
      <c r="C54" s="31" t="s">
        <v>139</v>
      </c>
      <c r="D54" s="31">
        <v>42</v>
      </c>
      <c r="E54" s="34">
        <f>E53</f>
        <v>65000</v>
      </c>
      <c r="F54" s="34">
        <f t="shared" si="9"/>
        <v>70200</v>
      </c>
      <c r="G54" s="34">
        <f t="shared" si="10"/>
        <v>72306</v>
      </c>
      <c r="H54" s="34">
        <f t="shared" si="2"/>
        <v>74475.180000000008</v>
      </c>
      <c r="I54" s="262">
        <f t="shared" si="3"/>
        <v>3127957.5600000005</v>
      </c>
      <c r="J54" s="62"/>
      <c r="K54" s="213">
        <v>15000</v>
      </c>
      <c r="M54" s="293">
        <f t="shared" si="4"/>
        <v>297795.75600000005</v>
      </c>
      <c r="N54" s="277">
        <f t="shared" si="5"/>
        <v>49632.626000000011</v>
      </c>
      <c r="O54" s="238">
        <f t="shared" si="6"/>
        <v>23566.313000000006</v>
      </c>
      <c r="P54" s="280">
        <f t="shared" si="7"/>
        <v>156397.87800000003</v>
      </c>
      <c r="Q54" s="62"/>
      <c r="R54" s="238">
        <f t="shared" si="8"/>
        <v>37490.67487951331</v>
      </c>
      <c r="S54" s="62"/>
      <c r="T54" s="238"/>
      <c r="U54" s="284"/>
    </row>
    <row r="55" spans="2:21" ht="12" hidden="1" customHeight="1">
      <c r="B55" s="224">
        <v>423</v>
      </c>
      <c r="C55" s="31" t="s">
        <v>143</v>
      </c>
      <c r="D55" s="31">
        <v>42</v>
      </c>
      <c r="E55" s="34">
        <f>E52</f>
        <v>68000</v>
      </c>
      <c r="F55" s="34">
        <f t="shared" si="9"/>
        <v>73440</v>
      </c>
      <c r="G55" s="34">
        <f t="shared" si="10"/>
        <v>75643.199999999997</v>
      </c>
      <c r="H55" s="34">
        <f t="shared" si="2"/>
        <v>77912.495999999999</v>
      </c>
      <c r="I55" s="262">
        <f t="shared" si="3"/>
        <v>3272324.8319999999</v>
      </c>
      <c r="J55" s="62"/>
      <c r="K55" s="213">
        <v>15000</v>
      </c>
      <c r="M55" s="293">
        <f t="shared" si="4"/>
        <v>312232.48320000002</v>
      </c>
      <c r="N55" s="277">
        <f t="shared" si="5"/>
        <v>52038.747200000005</v>
      </c>
      <c r="O55" s="238">
        <f t="shared" si="6"/>
        <v>24769.373600000003</v>
      </c>
      <c r="P55" s="280">
        <f t="shared" si="7"/>
        <v>163616.24160000001</v>
      </c>
      <c r="Q55" s="62"/>
      <c r="R55" s="238">
        <f t="shared" si="8"/>
        <v>39221.013720106217</v>
      </c>
      <c r="S55" s="62"/>
      <c r="T55" s="238"/>
      <c r="U55" s="284"/>
    </row>
    <row r="56" spans="2:21" ht="12" hidden="1" customHeight="1">
      <c r="B56" s="224">
        <v>424</v>
      </c>
      <c r="C56" s="31" t="s">
        <v>142</v>
      </c>
      <c r="D56" s="31">
        <v>42</v>
      </c>
      <c r="E56" s="34">
        <f>E51</f>
        <v>71000</v>
      </c>
      <c r="F56" s="34">
        <f t="shared" si="9"/>
        <v>76680</v>
      </c>
      <c r="G56" s="34">
        <f t="shared" si="10"/>
        <v>78980.400000000009</v>
      </c>
      <c r="H56" s="34">
        <f t="shared" si="2"/>
        <v>81349.812000000005</v>
      </c>
      <c r="I56" s="262">
        <f t="shared" si="3"/>
        <v>3416692.1040000003</v>
      </c>
      <c r="J56" s="62"/>
      <c r="K56" s="213">
        <v>15000</v>
      </c>
      <c r="M56" s="293">
        <f t="shared" si="4"/>
        <v>326669.21040000004</v>
      </c>
      <c r="N56" s="277">
        <f t="shared" si="5"/>
        <v>54444.868400000007</v>
      </c>
      <c r="O56" s="238">
        <f t="shared" si="6"/>
        <v>25972.434200000003</v>
      </c>
      <c r="P56" s="280">
        <f t="shared" si="7"/>
        <v>170834.60520000002</v>
      </c>
      <c r="Q56" s="62"/>
      <c r="R56" s="238">
        <f t="shared" si="8"/>
        <v>40951.352560699153</v>
      </c>
      <c r="S56" s="62"/>
      <c r="T56" s="238"/>
      <c r="U56" s="284"/>
    </row>
    <row r="57" spans="2:21" ht="30" customHeight="1">
      <c r="B57" s="224">
        <v>514</v>
      </c>
      <c r="C57" s="31" t="s">
        <v>139</v>
      </c>
      <c r="D57" s="31">
        <v>42</v>
      </c>
      <c r="E57" s="34">
        <f>'[2]Price per sqm-FF'!F10</f>
        <v>66000</v>
      </c>
      <c r="F57" s="34">
        <f t="shared" si="9"/>
        <v>71280</v>
      </c>
      <c r="G57" s="34">
        <f t="shared" si="10"/>
        <v>73418.400000000009</v>
      </c>
      <c r="H57" s="34">
        <f t="shared" si="2"/>
        <v>75620.952000000005</v>
      </c>
      <c r="I57" s="262">
        <f t="shared" si="3"/>
        <v>3176079.9840000002</v>
      </c>
      <c r="J57" s="261"/>
      <c r="K57" s="213">
        <v>15000</v>
      </c>
      <c r="M57" s="293">
        <f t="shared" si="4"/>
        <v>302607.99840000004</v>
      </c>
      <c r="N57" s="277">
        <f t="shared" si="5"/>
        <v>50434.666400000009</v>
      </c>
      <c r="O57" s="238">
        <f t="shared" si="6"/>
        <v>23967.333200000005</v>
      </c>
      <c r="P57" s="280">
        <f t="shared" si="7"/>
        <v>158803.99920000002</v>
      </c>
      <c r="Q57" s="62"/>
      <c r="R57" s="238">
        <f t="shared" si="8"/>
        <v>38708.332270822058</v>
      </c>
      <c r="S57" s="62"/>
      <c r="T57" s="238">
        <v>115358</v>
      </c>
      <c r="U57" s="284"/>
    </row>
    <row r="58" spans="2:21">
      <c r="B58" s="224">
        <v>515</v>
      </c>
      <c r="C58" s="31" t="s">
        <v>139</v>
      </c>
      <c r="D58" s="31">
        <v>42</v>
      </c>
      <c r="E58" s="34">
        <f>E57</f>
        <v>66000</v>
      </c>
      <c r="F58" s="34">
        <f t="shared" si="9"/>
        <v>71280</v>
      </c>
      <c r="G58" s="34">
        <f t="shared" si="10"/>
        <v>73418.400000000009</v>
      </c>
      <c r="H58" s="34">
        <f t="shared" si="2"/>
        <v>75620.952000000005</v>
      </c>
      <c r="I58" s="262">
        <f t="shared" si="3"/>
        <v>3176079.9840000002</v>
      </c>
      <c r="J58" s="261"/>
      <c r="K58" s="213">
        <v>15000</v>
      </c>
      <c r="M58" s="293">
        <f t="shared" si="4"/>
        <v>302607.99840000004</v>
      </c>
      <c r="N58" s="277">
        <f t="shared" si="5"/>
        <v>50434.666400000009</v>
      </c>
      <c r="O58" s="238">
        <f t="shared" si="6"/>
        <v>23967.333200000005</v>
      </c>
      <c r="P58" s="280">
        <f t="shared" si="7"/>
        <v>158803.99920000002</v>
      </c>
      <c r="Q58" s="62"/>
      <c r="R58" s="238">
        <f t="shared" si="8"/>
        <v>38708.332270822058</v>
      </c>
      <c r="S58" s="62"/>
      <c r="T58" s="238">
        <v>115358</v>
      </c>
      <c r="U58" s="284"/>
    </row>
    <row r="59" spans="2:21">
      <c r="B59" s="224">
        <v>516</v>
      </c>
      <c r="C59" s="31" t="s">
        <v>139</v>
      </c>
      <c r="D59" s="31">
        <v>42</v>
      </c>
      <c r="E59" s="34">
        <f>E58</f>
        <v>66000</v>
      </c>
      <c r="F59" s="34">
        <f t="shared" si="9"/>
        <v>71280</v>
      </c>
      <c r="G59" s="34">
        <f t="shared" si="10"/>
        <v>73418.400000000009</v>
      </c>
      <c r="H59" s="34">
        <f t="shared" si="2"/>
        <v>75620.952000000005</v>
      </c>
      <c r="I59" s="262">
        <f t="shared" si="3"/>
        <v>3176079.9840000002</v>
      </c>
      <c r="J59" s="62"/>
      <c r="K59" s="213">
        <v>15000</v>
      </c>
      <c r="M59" s="293">
        <f t="shared" si="4"/>
        <v>302607.99840000004</v>
      </c>
      <c r="N59" s="277">
        <f t="shared" si="5"/>
        <v>50434.666400000009</v>
      </c>
      <c r="O59" s="238">
        <f t="shared" si="6"/>
        <v>23967.333200000005</v>
      </c>
      <c r="P59" s="280">
        <f t="shared" si="7"/>
        <v>158803.99920000002</v>
      </c>
      <c r="Q59" s="62"/>
      <c r="R59" s="238">
        <f t="shared" si="8"/>
        <v>38708.332270822058</v>
      </c>
      <c r="S59" s="62"/>
      <c r="T59" s="238">
        <v>115358</v>
      </c>
      <c r="U59" s="284"/>
    </row>
    <row r="60" spans="2:21" ht="12" hidden="1" customHeight="1">
      <c r="B60" s="224">
        <v>517</v>
      </c>
      <c r="C60" s="31" t="s">
        <v>139</v>
      </c>
      <c r="D60" s="31">
        <v>42</v>
      </c>
      <c r="E60" s="34">
        <f>E59</f>
        <v>66000</v>
      </c>
      <c r="F60" s="34">
        <f t="shared" si="9"/>
        <v>71280</v>
      </c>
      <c r="G60" s="34">
        <f t="shared" si="10"/>
        <v>73418.400000000009</v>
      </c>
      <c r="H60" s="34">
        <f t="shared" si="2"/>
        <v>75620.952000000005</v>
      </c>
      <c r="I60" s="262">
        <f t="shared" si="3"/>
        <v>3176079.9840000002</v>
      </c>
      <c r="J60" s="62"/>
      <c r="K60" s="213">
        <v>15000</v>
      </c>
      <c r="M60" s="293">
        <f t="shared" si="4"/>
        <v>302607.99840000004</v>
      </c>
      <c r="N60" s="277">
        <f t="shared" si="5"/>
        <v>50434.666400000009</v>
      </c>
      <c r="O60" s="238">
        <f t="shared" si="6"/>
        <v>23967.333200000005</v>
      </c>
      <c r="P60" s="280">
        <f t="shared" si="7"/>
        <v>158803.99920000002</v>
      </c>
      <c r="Q60" s="62"/>
      <c r="R60" s="238">
        <f t="shared" si="8"/>
        <v>38067.454493044279</v>
      </c>
      <c r="S60" s="62"/>
      <c r="T60" s="238"/>
      <c r="U60" s="284"/>
    </row>
    <row r="61" spans="2:21" ht="12" hidden="1" customHeight="1">
      <c r="B61" s="224">
        <v>518</v>
      </c>
      <c r="C61" s="31" t="s">
        <v>139</v>
      </c>
      <c r="D61" s="31">
        <v>42</v>
      </c>
      <c r="E61" s="34">
        <f>E60</f>
        <v>66000</v>
      </c>
      <c r="F61" s="34">
        <f t="shared" si="9"/>
        <v>71280</v>
      </c>
      <c r="G61" s="34">
        <f t="shared" si="10"/>
        <v>73418.400000000009</v>
      </c>
      <c r="H61" s="34">
        <f t="shared" si="2"/>
        <v>75620.952000000005</v>
      </c>
      <c r="I61" s="262">
        <f t="shared" si="3"/>
        <v>3176079.9840000002</v>
      </c>
      <c r="J61" s="62"/>
      <c r="K61" s="213">
        <v>15000</v>
      </c>
      <c r="M61" s="293">
        <f t="shared" si="4"/>
        <v>302607.99840000004</v>
      </c>
      <c r="N61" s="277">
        <f t="shared" si="5"/>
        <v>50434.666400000009</v>
      </c>
      <c r="O61" s="238">
        <f t="shared" si="6"/>
        <v>23967.333200000005</v>
      </c>
      <c r="P61" s="280">
        <f t="shared" si="7"/>
        <v>158803.99920000002</v>
      </c>
      <c r="Q61" s="62"/>
      <c r="R61" s="238">
        <f t="shared" si="8"/>
        <v>38067.454493044279</v>
      </c>
      <c r="S61" s="62"/>
      <c r="T61" s="238"/>
      <c r="U61" s="284"/>
    </row>
    <row r="62" spans="2:21" ht="12" hidden="1" customHeight="1">
      <c r="B62" s="224">
        <v>519</v>
      </c>
      <c r="C62" s="31" t="s">
        <v>139</v>
      </c>
      <c r="D62" s="31">
        <v>42</v>
      </c>
      <c r="E62" s="34">
        <f>E61</f>
        <v>66000</v>
      </c>
      <c r="F62" s="34">
        <f t="shared" si="9"/>
        <v>71280</v>
      </c>
      <c r="G62" s="34">
        <f t="shared" si="10"/>
        <v>73418.400000000009</v>
      </c>
      <c r="H62" s="34">
        <f t="shared" si="2"/>
        <v>75620.952000000005</v>
      </c>
      <c r="I62" s="262">
        <f t="shared" si="3"/>
        <v>3176079.9840000002</v>
      </c>
      <c r="J62" s="62"/>
      <c r="K62" s="213">
        <v>15000</v>
      </c>
      <c r="M62" s="293">
        <f t="shared" si="4"/>
        <v>302607.99840000004</v>
      </c>
      <c r="N62" s="277">
        <f t="shared" si="5"/>
        <v>50434.666400000009</v>
      </c>
      <c r="O62" s="238">
        <f t="shared" si="6"/>
        <v>23967.333200000005</v>
      </c>
      <c r="P62" s="280">
        <f t="shared" si="7"/>
        <v>158803.99920000002</v>
      </c>
      <c r="Q62" s="62"/>
      <c r="R62" s="238">
        <f t="shared" si="8"/>
        <v>38067.454493044279</v>
      </c>
      <c r="S62" s="62"/>
      <c r="T62" s="238"/>
      <c r="U62" s="284"/>
    </row>
    <row r="63" spans="2:21" ht="12" hidden="1" customHeight="1">
      <c r="B63" s="224">
        <v>520</v>
      </c>
      <c r="C63" s="31" t="s">
        <v>142</v>
      </c>
      <c r="D63" s="31">
        <v>42</v>
      </c>
      <c r="E63" s="34">
        <f>'[2]Price per sqm-FF'!B10</f>
        <v>72000</v>
      </c>
      <c r="F63" s="34">
        <f t="shared" si="9"/>
        <v>77760</v>
      </c>
      <c r="G63" s="34">
        <f t="shared" si="10"/>
        <v>80092.800000000003</v>
      </c>
      <c r="H63" s="34">
        <f t="shared" si="2"/>
        <v>82495.584000000003</v>
      </c>
      <c r="I63" s="262">
        <f t="shared" si="3"/>
        <v>3464814.5279999999</v>
      </c>
      <c r="J63" s="62"/>
      <c r="K63" s="213">
        <v>15000</v>
      </c>
      <c r="M63" s="293">
        <f t="shared" si="4"/>
        <v>331481.45280000003</v>
      </c>
      <c r="N63" s="277">
        <f t="shared" si="5"/>
        <v>55246.908800000005</v>
      </c>
      <c r="O63" s="238">
        <f t="shared" si="6"/>
        <v>26373.454400000002</v>
      </c>
      <c r="P63" s="280">
        <f t="shared" si="7"/>
        <v>173240.72640000001</v>
      </c>
      <c r="Q63" s="62"/>
      <c r="R63" s="238">
        <f t="shared" si="8"/>
        <v>41528.132174230115</v>
      </c>
      <c r="S63" s="62"/>
      <c r="T63" s="238"/>
      <c r="U63" s="284"/>
    </row>
    <row r="64" spans="2:21" ht="12" hidden="1" customHeight="1">
      <c r="B64" s="224">
        <v>521</v>
      </c>
      <c r="C64" s="31" t="s">
        <v>143</v>
      </c>
      <c r="D64" s="31">
        <v>42</v>
      </c>
      <c r="E64" s="34">
        <f>'[2]Price per sqm-FF'!D10</f>
        <v>69000</v>
      </c>
      <c r="F64" s="34">
        <f t="shared" si="9"/>
        <v>74520</v>
      </c>
      <c r="G64" s="34">
        <f t="shared" si="10"/>
        <v>76755.600000000006</v>
      </c>
      <c r="H64" s="34">
        <f t="shared" si="2"/>
        <v>79058.268000000011</v>
      </c>
      <c r="I64" s="262">
        <f t="shared" si="3"/>
        <v>3320447.2560000005</v>
      </c>
      <c r="J64" s="62"/>
      <c r="K64" s="213">
        <v>15000</v>
      </c>
      <c r="M64" s="293">
        <f t="shared" si="4"/>
        <v>317044.72560000006</v>
      </c>
      <c r="N64" s="277">
        <f t="shared" si="5"/>
        <v>52840.787600000011</v>
      </c>
      <c r="O64" s="238">
        <f t="shared" si="6"/>
        <v>25170.393800000005</v>
      </c>
      <c r="P64" s="280">
        <f t="shared" si="7"/>
        <v>166022.36280000003</v>
      </c>
      <c r="Q64" s="62"/>
      <c r="R64" s="238">
        <f t="shared" si="8"/>
        <v>39797.793333637201</v>
      </c>
      <c r="S64" s="62"/>
      <c r="T64" s="238"/>
      <c r="U64" s="284"/>
    </row>
    <row r="65" spans="2:21" ht="12" hidden="1" customHeight="1">
      <c r="B65" s="224">
        <v>522</v>
      </c>
      <c r="C65" s="31" t="s">
        <v>139</v>
      </c>
      <c r="D65" s="31">
        <v>42</v>
      </c>
      <c r="E65" s="34">
        <f>'[2]Price per sqm-FF'!F10</f>
        <v>66000</v>
      </c>
      <c r="F65" s="34">
        <f t="shared" si="9"/>
        <v>71280</v>
      </c>
      <c r="G65" s="34">
        <f t="shared" si="10"/>
        <v>73418.400000000009</v>
      </c>
      <c r="H65" s="34">
        <f t="shared" si="2"/>
        <v>75620.952000000005</v>
      </c>
      <c r="I65" s="262">
        <f t="shared" si="3"/>
        <v>3176079.9840000002</v>
      </c>
      <c r="J65" s="62"/>
      <c r="K65" s="213">
        <v>15000</v>
      </c>
      <c r="M65" s="293">
        <f t="shared" si="4"/>
        <v>302607.99840000004</v>
      </c>
      <c r="N65" s="277">
        <f t="shared" si="5"/>
        <v>50434.666400000009</v>
      </c>
      <c r="O65" s="238">
        <f t="shared" si="6"/>
        <v>23967.333200000005</v>
      </c>
      <c r="P65" s="280">
        <f t="shared" si="7"/>
        <v>158803.99920000002</v>
      </c>
      <c r="Q65" s="62"/>
      <c r="R65" s="238">
        <f t="shared" si="8"/>
        <v>38067.454493044279</v>
      </c>
      <c r="S65" s="62"/>
      <c r="T65" s="238"/>
      <c r="U65" s="284"/>
    </row>
    <row r="66" spans="2:21" ht="12" hidden="1" customHeight="1">
      <c r="B66" s="224">
        <v>523</v>
      </c>
      <c r="C66" s="31" t="s">
        <v>139</v>
      </c>
      <c r="D66" s="31">
        <v>42</v>
      </c>
      <c r="E66" s="34">
        <f>E65</f>
        <v>66000</v>
      </c>
      <c r="F66" s="34">
        <f t="shared" si="9"/>
        <v>71280</v>
      </c>
      <c r="G66" s="34">
        <f t="shared" si="10"/>
        <v>73418.400000000009</v>
      </c>
      <c r="H66" s="34">
        <f t="shared" si="2"/>
        <v>75620.952000000005</v>
      </c>
      <c r="I66" s="262">
        <f t="shared" si="3"/>
        <v>3176079.9840000002</v>
      </c>
      <c r="J66" s="62"/>
      <c r="K66" s="213">
        <v>15000</v>
      </c>
      <c r="M66" s="293">
        <f t="shared" si="4"/>
        <v>302607.99840000004</v>
      </c>
      <c r="N66" s="277">
        <f t="shared" si="5"/>
        <v>50434.666400000009</v>
      </c>
      <c r="O66" s="238">
        <f t="shared" si="6"/>
        <v>23967.333200000005</v>
      </c>
      <c r="P66" s="280">
        <f t="shared" si="7"/>
        <v>158803.99920000002</v>
      </c>
      <c r="Q66" s="62"/>
      <c r="R66" s="238">
        <f t="shared" si="8"/>
        <v>38067.454493044279</v>
      </c>
      <c r="S66" s="62"/>
      <c r="T66" s="238"/>
      <c r="U66" s="284"/>
    </row>
    <row r="67" spans="2:21" ht="12" hidden="1" customHeight="1">
      <c r="B67" s="224">
        <v>524</v>
      </c>
      <c r="C67" s="31" t="s">
        <v>143</v>
      </c>
      <c r="D67" s="31">
        <v>42</v>
      </c>
      <c r="E67" s="34">
        <f>E64</f>
        <v>69000</v>
      </c>
      <c r="F67" s="34">
        <f t="shared" si="9"/>
        <v>74520</v>
      </c>
      <c r="G67" s="34">
        <f t="shared" si="10"/>
        <v>76755.600000000006</v>
      </c>
      <c r="H67" s="34">
        <f t="shared" si="2"/>
        <v>79058.268000000011</v>
      </c>
      <c r="I67" s="262">
        <f t="shared" si="3"/>
        <v>3320447.2560000005</v>
      </c>
      <c r="J67" s="62"/>
      <c r="K67" s="213">
        <v>15000</v>
      </c>
      <c r="M67" s="293">
        <f t="shared" si="4"/>
        <v>317044.72560000006</v>
      </c>
      <c r="N67" s="277">
        <f t="shared" si="5"/>
        <v>52840.787600000011</v>
      </c>
      <c r="O67" s="238">
        <f t="shared" si="6"/>
        <v>25170.393800000005</v>
      </c>
      <c r="P67" s="280">
        <f t="shared" si="7"/>
        <v>166022.36280000003</v>
      </c>
      <c r="Q67" s="62"/>
      <c r="R67" s="238">
        <f t="shared" si="8"/>
        <v>39797.793333637201</v>
      </c>
      <c r="S67" s="62"/>
      <c r="T67" s="238"/>
      <c r="U67" s="284"/>
    </row>
    <row r="68" spans="2:21" ht="30" hidden="1" customHeight="1">
      <c r="B68" s="224">
        <v>614</v>
      </c>
      <c r="C68" s="31" t="s">
        <v>139</v>
      </c>
      <c r="D68" s="31">
        <v>42</v>
      </c>
      <c r="E68" s="34">
        <f>'[2]Price per sqm-FF'!F11</f>
        <v>67000</v>
      </c>
      <c r="F68" s="34">
        <f t="shared" si="9"/>
        <v>72360</v>
      </c>
      <c r="G68" s="34">
        <f t="shared" si="10"/>
        <v>74530.8</v>
      </c>
      <c r="H68" s="34">
        <f t="shared" si="2"/>
        <v>76766.724000000002</v>
      </c>
      <c r="I68" s="262">
        <f t="shared" si="3"/>
        <v>3224202.4080000003</v>
      </c>
      <c r="J68" s="261"/>
      <c r="K68" s="213">
        <v>15000</v>
      </c>
      <c r="M68" s="293">
        <f t="shared" si="4"/>
        <v>307420.24080000003</v>
      </c>
      <c r="N68" s="277">
        <f t="shared" si="5"/>
        <v>51236.706800000007</v>
      </c>
      <c r="O68" s="238">
        <f t="shared" si="6"/>
        <v>24368.353400000004</v>
      </c>
      <c r="P68" s="280">
        <f t="shared" si="7"/>
        <v>161210.12040000001</v>
      </c>
      <c r="Q68" s="62"/>
      <c r="R68" s="238">
        <f t="shared" si="8"/>
        <v>38644.234106575255</v>
      </c>
      <c r="S68" s="62"/>
      <c r="T68" s="238"/>
      <c r="U68" s="284"/>
    </row>
    <row r="69" spans="2:21" ht="12" hidden="1" customHeight="1">
      <c r="B69" s="224">
        <v>615</v>
      </c>
      <c r="C69" s="31" t="s">
        <v>139</v>
      </c>
      <c r="D69" s="31">
        <v>42</v>
      </c>
      <c r="E69" s="34">
        <f>E68</f>
        <v>67000</v>
      </c>
      <c r="F69" s="34">
        <f t="shared" si="9"/>
        <v>72360</v>
      </c>
      <c r="G69" s="34">
        <f t="shared" si="10"/>
        <v>74530.8</v>
      </c>
      <c r="H69" s="34">
        <f t="shared" si="2"/>
        <v>76766.724000000002</v>
      </c>
      <c r="I69" s="262">
        <f t="shared" si="3"/>
        <v>3224202.4080000003</v>
      </c>
      <c r="J69" s="62"/>
      <c r="K69" s="213">
        <v>15000</v>
      </c>
      <c r="M69" s="293">
        <f t="shared" si="4"/>
        <v>307420.24080000003</v>
      </c>
      <c r="N69" s="277">
        <f t="shared" si="5"/>
        <v>51236.706800000007</v>
      </c>
      <c r="O69" s="238">
        <f t="shared" si="6"/>
        <v>24368.353400000004</v>
      </c>
      <c r="P69" s="280">
        <f t="shared" si="7"/>
        <v>161210.12040000001</v>
      </c>
      <c r="Q69" s="62"/>
      <c r="R69" s="238">
        <f t="shared" si="8"/>
        <v>38644.234106575255</v>
      </c>
      <c r="S69" s="62"/>
      <c r="T69" s="238"/>
      <c r="U69" s="284"/>
    </row>
    <row r="70" spans="2:21" ht="12" hidden="1" customHeight="1">
      <c r="B70" s="224">
        <v>616</v>
      </c>
      <c r="C70" s="31" t="s">
        <v>139</v>
      </c>
      <c r="D70" s="31">
        <v>42</v>
      </c>
      <c r="E70" s="34">
        <f>E69</f>
        <v>67000</v>
      </c>
      <c r="F70" s="34">
        <f t="shared" si="9"/>
        <v>72360</v>
      </c>
      <c r="G70" s="34">
        <f t="shared" si="10"/>
        <v>74530.8</v>
      </c>
      <c r="H70" s="34">
        <f t="shared" si="2"/>
        <v>76766.724000000002</v>
      </c>
      <c r="I70" s="262">
        <f t="shared" si="3"/>
        <v>3224202.4080000003</v>
      </c>
      <c r="J70" s="62"/>
      <c r="K70" s="213">
        <v>15000</v>
      </c>
      <c r="M70" s="293">
        <f t="shared" si="4"/>
        <v>307420.24080000003</v>
      </c>
      <c r="N70" s="277">
        <f t="shared" si="5"/>
        <v>51236.706800000007</v>
      </c>
      <c r="O70" s="238">
        <f t="shared" si="6"/>
        <v>24368.353400000004</v>
      </c>
      <c r="P70" s="280">
        <f t="shared" si="7"/>
        <v>161210.12040000001</v>
      </c>
      <c r="Q70" s="62"/>
      <c r="R70" s="238">
        <f t="shared" si="8"/>
        <v>38644.234106575255</v>
      </c>
      <c r="S70" s="62"/>
      <c r="T70" s="238"/>
      <c r="U70" s="284"/>
    </row>
    <row r="71" spans="2:21" ht="12" hidden="1" customHeight="1">
      <c r="B71" s="224">
        <v>617</v>
      </c>
      <c r="C71" s="31" t="s">
        <v>139</v>
      </c>
      <c r="D71" s="31">
        <v>42</v>
      </c>
      <c r="E71" s="34">
        <f>E70</f>
        <v>67000</v>
      </c>
      <c r="F71" s="34">
        <f t="shared" si="9"/>
        <v>72360</v>
      </c>
      <c r="G71" s="34">
        <f t="shared" si="10"/>
        <v>74530.8</v>
      </c>
      <c r="H71" s="34">
        <f t="shared" si="2"/>
        <v>76766.724000000002</v>
      </c>
      <c r="I71" s="262">
        <f t="shared" si="3"/>
        <v>3224202.4080000003</v>
      </c>
      <c r="J71" s="62"/>
      <c r="K71" s="213">
        <v>15000</v>
      </c>
      <c r="M71" s="293">
        <f t="shared" si="4"/>
        <v>307420.24080000003</v>
      </c>
      <c r="N71" s="277">
        <f t="shared" si="5"/>
        <v>51236.706800000007</v>
      </c>
      <c r="O71" s="238">
        <f t="shared" si="6"/>
        <v>24368.353400000004</v>
      </c>
      <c r="P71" s="280">
        <f t="shared" si="7"/>
        <v>161210.12040000001</v>
      </c>
      <c r="Q71" s="62"/>
      <c r="R71" s="238">
        <f t="shared" si="8"/>
        <v>38644.234106575255</v>
      </c>
      <c r="S71" s="62"/>
      <c r="T71" s="238"/>
      <c r="U71" s="284"/>
    </row>
    <row r="72" spans="2:21" ht="22.5" customHeight="1">
      <c r="B72" s="101">
        <v>618</v>
      </c>
      <c r="C72" s="31" t="s">
        <v>139</v>
      </c>
      <c r="D72" s="31">
        <v>42</v>
      </c>
      <c r="E72" s="34">
        <f>E71</f>
        <v>67000</v>
      </c>
      <c r="F72" s="34">
        <f t="shared" si="9"/>
        <v>72360</v>
      </c>
      <c r="G72" s="34">
        <f t="shared" si="10"/>
        <v>74530.8</v>
      </c>
      <c r="H72" s="34">
        <f t="shared" si="2"/>
        <v>76766.724000000002</v>
      </c>
      <c r="I72" s="263">
        <f t="shared" si="3"/>
        <v>3224202.4080000003</v>
      </c>
      <c r="J72" s="62"/>
      <c r="K72" s="202">
        <v>15000</v>
      </c>
      <c r="M72" s="291">
        <f t="shared" si="4"/>
        <v>307420.24080000003</v>
      </c>
      <c r="N72" s="278">
        <f t="shared" si="5"/>
        <v>51236.706800000007</v>
      </c>
      <c r="O72" s="239">
        <f t="shared" si="6"/>
        <v>24368.353400000004</v>
      </c>
      <c r="P72" s="281">
        <f t="shared" si="7"/>
        <v>161210.12040000001</v>
      </c>
      <c r="Q72" s="62"/>
      <c r="R72" s="239">
        <f t="shared" si="8"/>
        <v>39293.795217686369</v>
      </c>
      <c r="S72" s="62"/>
      <c r="T72" s="239">
        <v>116921</v>
      </c>
      <c r="U72" s="284"/>
    </row>
    <row r="73" spans="2:21" ht="12" hidden="1" customHeight="1">
      <c r="B73" s="101">
        <v>619</v>
      </c>
      <c r="C73" s="101" t="s">
        <v>142</v>
      </c>
      <c r="D73" s="101">
        <v>42</v>
      </c>
      <c r="E73" s="202">
        <f>'[2]Price per sqm-FF'!B11</f>
        <v>73000</v>
      </c>
      <c r="F73" s="202">
        <f t="shared" si="9"/>
        <v>78840</v>
      </c>
      <c r="G73" s="202">
        <f t="shared" si="10"/>
        <v>81205.2</v>
      </c>
      <c r="H73" s="202"/>
      <c r="I73" s="202">
        <f t="shared" ref="I73:I75" si="11">G73*42</f>
        <v>3410618.4</v>
      </c>
      <c r="K73" s="202">
        <v>15000</v>
      </c>
      <c r="M73" s="291">
        <f t="shared" ref="M73:M78" si="12">I73*0.2</f>
        <v>682123.68</v>
      </c>
      <c r="N73" s="262">
        <f t="shared" ref="N73" si="13">M73/6</f>
        <v>113687.28000000001</v>
      </c>
      <c r="O73" s="239">
        <f t="shared" ref="O73:O78" si="14">(I73*0.1-K73)/7</f>
        <v>46580.262857142858</v>
      </c>
      <c r="P73" s="272">
        <f t="shared" si="7"/>
        <v>170530.92</v>
      </c>
      <c r="R73" s="239">
        <f t="shared" ref="R73:R91" si="15">PMT(14%/12,180,-I73*0.8)+T73/180</f>
        <v>37283.88745222101</v>
      </c>
      <c r="T73" s="239">
        <f t="shared" ref="T73:T78" si="16">I73*0.05</f>
        <v>170530.92</v>
      </c>
    </row>
    <row r="74" spans="2:21" ht="12" hidden="1" customHeight="1">
      <c r="B74" s="65">
        <v>620</v>
      </c>
      <c r="C74" s="65" t="s">
        <v>143</v>
      </c>
      <c r="D74" s="65">
        <v>42</v>
      </c>
      <c r="E74" s="47">
        <f>'[2]Price per sqm-FF'!D11</f>
        <v>70000</v>
      </c>
      <c r="F74" s="47">
        <f t="shared" si="9"/>
        <v>75600</v>
      </c>
      <c r="G74" s="47">
        <f t="shared" si="10"/>
        <v>77868</v>
      </c>
      <c r="H74" s="47"/>
      <c r="I74" s="47">
        <f t="shared" si="11"/>
        <v>3270456</v>
      </c>
      <c r="K74" s="47">
        <v>15000</v>
      </c>
      <c r="M74" s="86">
        <f t="shared" si="12"/>
        <v>654091.20000000007</v>
      </c>
      <c r="N74" s="262">
        <f t="shared" ref="N74:N91" si="17">M74/6</f>
        <v>109015.20000000001</v>
      </c>
      <c r="O74" s="274">
        <f t="shared" si="14"/>
        <v>44577.942857142865</v>
      </c>
      <c r="P74" s="272">
        <f t="shared" si="7"/>
        <v>163522.80000000002</v>
      </c>
      <c r="R74" s="274">
        <f t="shared" si="15"/>
        <v>35751.672899390011</v>
      </c>
      <c r="T74" s="274">
        <f t="shared" si="16"/>
        <v>163522.80000000002</v>
      </c>
    </row>
    <row r="75" spans="2:21" ht="12" hidden="1" customHeight="1">
      <c r="B75" s="65">
        <v>621</v>
      </c>
      <c r="C75" s="65" t="s">
        <v>139</v>
      </c>
      <c r="D75" s="65">
        <v>42</v>
      </c>
      <c r="E75" s="47">
        <f>E72</f>
        <v>67000</v>
      </c>
      <c r="F75" s="47">
        <f t="shared" si="9"/>
        <v>72360</v>
      </c>
      <c r="G75" s="47">
        <f t="shared" si="10"/>
        <v>74530.8</v>
      </c>
      <c r="H75" s="47"/>
      <c r="I75" s="47">
        <f t="shared" si="11"/>
        <v>3130293.6</v>
      </c>
      <c r="K75" s="47">
        <v>15000</v>
      </c>
      <c r="M75" s="86">
        <f t="shared" si="12"/>
        <v>626058.72000000009</v>
      </c>
      <c r="N75" s="262">
        <f t="shared" si="17"/>
        <v>104343.12000000001</v>
      </c>
      <c r="O75" s="274">
        <f t="shared" si="14"/>
        <v>42575.622857142866</v>
      </c>
      <c r="P75" s="272">
        <f t="shared" si="7"/>
        <v>156514.68000000002</v>
      </c>
      <c r="R75" s="274">
        <f t="shared" si="15"/>
        <v>34219.458346559011</v>
      </c>
      <c r="T75" s="274">
        <f t="shared" si="16"/>
        <v>156514.68000000002</v>
      </c>
    </row>
    <row r="76" spans="2:21" ht="12" hidden="1" customHeight="1">
      <c r="B76" s="65">
        <v>622</v>
      </c>
      <c r="C76" s="65" t="s">
        <v>139</v>
      </c>
      <c r="D76" s="65">
        <v>42</v>
      </c>
      <c r="E76" s="47">
        <f>E72</f>
        <v>67000</v>
      </c>
      <c r="F76" s="47">
        <f t="shared" ref="F76:F78" si="18">E76*1.08</f>
        <v>72360</v>
      </c>
      <c r="G76" s="47">
        <f t="shared" ref="G76:G78" si="19">F76*1.03</f>
        <v>74530.8</v>
      </c>
      <c r="H76" s="47"/>
      <c r="I76" s="47">
        <f t="shared" ref="I76:I91" si="20">G76*42</f>
        <v>3130293.6</v>
      </c>
      <c r="K76" s="47">
        <v>15000</v>
      </c>
      <c r="M76" s="86">
        <f t="shared" si="12"/>
        <v>626058.72000000009</v>
      </c>
      <c r="N76" s="262">
        <f t="shared" si="17"/>
        <v>104343.12000000001</v>
      </c>
      <c r="O76" s="274">
        <f t="shared" si="14"/>
        <v>42575.622857142866</v>
      </c>
      <c r="P76" s="272">
        <f t="shared" si="7"/>
        <v>156514.68000000002</v>
      </c>
      <c r="R76" s="274">
        <f t="shared" si="15"/>
        <v>34219.458346559011</v>
      </c>
      <c r="T76" s="274">
        <f t="shared" si="16"/>
        <v>156514.68000000002</v>
      </c>
    </row>
    <row r="77" spans="2:21" ht="12" hidden="1" customHeight="1">
      <c r="B77" s="65">
        <v>623</v>
      </c>
      <c r="C77" s="65" t="s">
        <v>143</v>
      </c>
      <c r="D77" s="65">
        <v>42</v>
      </c>
      <c r="E77" s="47">
        <f>E74</f>
        <v>70000</v>
      </c>
      <c r="F77" s="47">
        <f t="shared" si="18"/>
        <v>75600</v>
      </c>
      <c r="G77" s="47">
        <f t="shared" si="19"/>
        <v>77868</v>
      </c>
      <c r="H77" s="47"/>
      <c r="I77" s="47">
        <f t="shared" si="20"/>
        <v>3270456</v>
      </c>
      <c r="K77" s="47">
        <v>15000</v>
      </c>
      <c r="M77" s="86">
        <f t="shared" si="12"/>
        <v>654091.20000000007</v>
      </c>
      <c r="N77" s="262">
        <f t="shared" si="17"/>
        <v>109015.20000000001</v>
      </c>
      <c r="O77" s="274">
        <f t="shared" si="14"/>
        <v>44577.942857142865</v>
      </c>
      <c r="P77" s="272">
        <f t="shared" ref="P77:P91" si="21">I77*0.05</f>
        <v>163522.80000000002</v>
      </c>
      <c r="R77" s="274">
        <f t="shared" si="15"/>
        <v>35751.672899390011</v>
      </c>
      <c r="T77" s="274">
        <f t="shared" si="16"/>
        <v>163522.80000000002</v>
      </c>
    </row>
    <row r="78" spans="2:21" ht="12" hidden="1" customHeight="1">
      <c r="B78" s="65">
        <v>624</v>
      </c>
      <c r="C78" s="65" t="s">
        <v>142</v>
      </c>
      <c r="D78" s="65">
        <v>42</v>
      </c>
      <c r="E78" s="47">
        <f>E73</f>
        <v>73000</v>
      </c>
      <c r="F78" s="47">
        <f t="shared" si="18"/>
        <v>78840</v>
      </c>
      <c r="G78" s="47">
        <f t="shared" si="19"/>
        <v>81205.2</v>
      </c>
      <c r="H78" s="47"/>
      <c r="I78" s="47">
        <f t="shared" si="20"/>
        <v>3410618.4</v>
      </c>
      <c r="K78" s="47">
        <v>15000</v>
      </c>
      <c r="M78" s="86">
        <f t="shared" si="12"/>
        <v>682123.68</v>
      </c>
      <c r="N78" s="262">
        <f t="shared" si="17"/>
        <v>113687.28000000001</v>
      </c>
      <c r="O78" s="274">
        <f t="shared" si="14"/>
        <v>46580.262857142858</v>
      </c>
      <c r="P78" s="272">
        <f t="shared" si="21"/>
        <v>170530.92</v>
      </c>
      <c r="R78" s="274">
        <f t="shared" si="15"/>
        <v>37283.88745222101</v>
      </c>
      <c r="T78" s="274">
        <f t="shared" si="16"/>
        <v>170530.92</v>
      </c>
    </row>
    <row r="79" spans="2:21" hidden="1">
      <c r="I79" s="47">
        <f t="shared" si="20"/>
        <v>0</v>
      </c>
      <c r="N79" s="262">
        <f t="shared" si="17"/>
        <v>0</v>
      </c>
      <c r="O79" s="274">
        <f t="shared" ref="O79:O91" si="22">(I79*0.05-K79)/11</f>
        <v>0</v>
      </c>
      <c r="P79" s="272">
        <f t="shared" si="21"/>
        <v>0</v>
      </c>
      <c r="R79" s="274">
        <f t="shared" si="15"/>
        <v>0</v>
      </c>
    </row>
    <row r="80" spans="2:21" hidden="1">
      <c r="I80" s="47">
        <f t="shared" si="20"/>
        <v>0</v>
      </c>
      <c r="N80" s="262">
        <f t="shared" si="17"/>
        <v>0</v>
      </c>
      <c r="O80" s="274">
        <f t="shared" si="22"/>
        <v>0</v>
      </c>
      <c r="P80" s="272">
        <f t="shared" si="21"/>
        <v>0</v>
      </c>
      <c r="R80" s="274">
        <f t="shared" si="15"/>
        <v>0</v>
      </c>
    </row>
    <row r="81" spans="1:23" hidden="1">
      <c r="B81" s="65"/>
      <c r="D81" s="69" t="s">
        <v>147</v>
      </c>
      <c r="E81" s="34"/>
      <c r="F81" s="34"/>
      <c r="G81" s="34"/>
      <c r="H81" s="34"/>
      <c r="I81" s="47">
        <f t="shared" si="20"/>
        <v>0</v>
      </c>
      <c r="N81" s="262">
        <f t="shared" si="17"/>
        <v>0</v>
      </c>
      <c r="O81" s="274">
        <f t="shared" si="22"/>
        <v>0</v>
      </c>
      <c r="P81" s="272">
        <f t="shared" si="21"/>
        <v>0</v>
      </c>
      <c r="R81" s="274">
        <f t="shared" si="15"/>
        <v>0</v>
      </c>
    </row>
    <row r="82" spans="1:23" hidden="1">
      <c r="B82" s="65"/>
      <c r="D82" s="69" t="s">
        <v>148</v>
      </c>
      <c r="E82" s="34"/>
      <c r="F82" s="34"/>
      <c r="G82" s="34"/>
      <c r="H82" s="34"/>
      <c r="I82" s="47">
        <f t="shared" si="20"/>
        <v>0</v>
      </c>
      <c r="N82" s="262">
        <f t="shared" si="17"/>
        <v>0</v>
      </c>
      <c r="O82" s="274">
        <f t="shared" si="22"/>
        <v>0</v>
      </c>
      <c r="P82" s="272">
        <f t="shared" si="21"/>
        <v>0</v>
      </c>
      <c r="R82" s="274">
        <f t="shared" si="15"/>
        <v>0</v>
      </c>
    </row>
    <row r="83" spans="1:23" hidden="1">
      <c r="B83" s="65"/>
      <c r="D83" s="69" t="s">
        <v>149</v>
      </c>
      <c r="E83" s="34"/>
      <c r="F83" s="34"/>
      <c r="G83" s="34"/>
      <c r="H83" s="34"/>
      <c r="I83" s="47">
        <f t="shared" si="20"/>
        <v>0</v>
      </c>
      <c r="N83" s="262">
        <f t="shared" si="17"/>
        <v>0</v>
      </c>
      <c r="O83" s="274">
        <f t="shared" si="22"/>
        <v>0</v>
      </c>
      <c r="P83" s="272">
        <f t="shared" si="21"/>
        <v>0</v>
      </c>
      <c r="R83" s="274">
        <f t="shared" si="15"/>
        <v>0</v>
      </c>
    </row>
    <row r="84" spans="1:23" hidden="1">
      <c r="B84" s="65"/>
      <c r="D84" s="69" t="s">
        <v>150</v>
      </c>
      <c r="E84" s="34"/>
      <c r="F84" s="34"/>
      <c r="G84" s="34"/>
      <c r="H84" s="34"/>
      <c r="I84" s="47">
        <f t="shared" si="20"/>
        <v>0</v>
      </c>
      <c r="N84" s="262">
        <f t="shared" si="17"/>
        <v>0</v>
      </c>
      <c r="O84" s="274">
        <f t="shared" si="22"/>
        <v>0</v>
      </c>
      <c r="P84" s="272">
        <f t="shared" si="21"/>
        <v>0</v>
      </c>
      <c r="R84" s="274">
        <f t="shared" si="15"/>
        <v>0</v>
      </c>
    </row>
    <row r="85" spans="1:23" hidden="1">
      <c r="B85" s="65"/>
      <c r="D85" s="69" t="s">
        <v>151</v>
      </c>
      <c r="E85" s="34"/>
      <c r="F85" s="34"/>
      <c r="G85" s="34"/>
      <c r="H85" s="34"/>
      <c r="I85" s="47">
        <f t="shared" si="20"/>
        <v>0</v>
      </c>
      <c r="N85" s="262">
        <f t="shared" si="17"/>
        <v>0</v>
      </c>
      <c r="O85" s="274">
        <f t="shared" si="22"/>
        <v>0</v>
      </c>
      <c r="P85" s="272">
        <f t="shared" si="21"/>
        <v>0</v>
      </c>
      <c r="R85" s="274">
        <f t="shared" si="15"/>
        <v>0</v>
      </c>
    </row>
    <row r="86" spans="1:23" hidden="1">
      <c r="A86" s="62"/>
      <c r="B86" s="62"/>
      <c r="C86" s="30"/>
      <c r="D86" s="93"/>
      <c r="E86" s="82"/>
      <c r="F86" s="82"/>
      <c r="G86" s="82"/>
      <c r="H86" s="82"/>
      <c r="I86" s="47">
        <f t="shared" si="20"/>
        <v>0</v>
      </c>
      <c r="J86" s="30"/>
      <c r="K86" s="30"/>
      <c r="L86" s="28"/>
      <c r="M86" s="82"/>
      <c r="N86" s="262">
        <f t="shared" si="17"/>
        <v>0</v>
      </c>
      <c r="O86" s="274">
        <f t="shared" si="22"/>
        <v>0</v>
      </c>
      <c r="P86" s="272">
        <f t="shared" si="21"/>
        <v>0</v>
      </c>
      <c r="R86" s="274">
        <f t="shared" si="15"/>
        <v>0</v>
      </c>
    </row>
    <row r="87" spans="1:23" hidden="1">
      <c r="A87" s="28">
        <v>1</v>
      </c>
      <c r="C87" s="31"/>
      <c r="D87" s="87"/>
      <c r="E87" s="82"/>
      <c r="F87" s="82"/>
      <c r="G87" s="82"/>
      <c r="H87" s="82"/>
      <c r="I87" s="47">
        <f t="shared" si="20"/>
        <v>0</v>
      </c>
      <c r="J87" s="30"/>
      <c r="K87" s="30"/>
      <c r="L87" s="28"/>
      <c r="M87" s="82"/>
      <c r="N87" s="262">
        <f t="shared" si="17"/>
        <v>0</v>
      </c>
      <c r="O87" s="274">
        <f t="shared" si="22"/>
        <v>0</v>
      </c>
      <c r="P87" s="272">
        <f t="shared" si="21"/>
        <v>0</v>
      </c>
      <c r="R87" s="274">
        <f t="shared" si="15"/>
        <v>0</v>
      </c>
    </row>
    <row r="88" spans="1:23" hidden="1">
      <c r="A88" s="28">
        <v>2</v>
      </c>
      <c r="C88" s="31"/>
      <c r="D88" s="87"/>
      <c r="E88" s="82"/>
      <c r="F88" s="82"/>
      <c r="G88" s="82"/>
      <c r="H88" s="82"/>
      <c r="I88" s="47">
        <f t="shared" si="20"/>
        <v>0</v>
      </c>
      <c r="J88" s="30"/>
      <c r="K88" s="30"/>
      <c r="L88" s="28"/>
      <c r="M88" s="82"/>
      <c r="N88" s="262">
        <f t="shared" si="17"/>
        <v>0</v>
      </c>
      <c r="O88" s="274">
        <f t="shared" si="22"/>
        <v>0</v>
      </c>
      <c r="P88" s="272">
        <f t="shared" si="21"/>
        <v>0</v>
      </c>
      <c r="R88" s="274">
        <f t="shared" si="15"/>
        <v>0</v>
      </c>
    </row>
    <row r="89" spans="1:23" hidden="1">
      <c r="A89" s="28">
        <v>3</v>
      </c>
      <c r="C89" s="31"/>
      <c r="D89" s="87"/>
      <c r="E89" s="82"/>
      <c r="F89" s="82"/>
      <c r="G89" s="82"/>
      <c r="H89" s="82"/>
      <c r="I89" s="47">
        <f t="shared" si="20"/>
        <v>0</v>
      </c>
      <c r="J89" s="30"/>
      <c r="K89" s="30"/>
      <c r="L89" s="28"/>
      <c r="M89" s="82"/>
      <c r="N89" s="262">
        <f t="shared" si="17"/>
        <v>0</v>
      </c>
      <c r="O89" s="274">
        <f t="shared" si="22"/>
        <v>0</v>
      </c>
      <c r="P89" s="272">
        <f t="shared" si="21"/>
        <v>0</v>
      </c>
      <c r="R89" s="274">
        <f t="shared" si="15"/>
        <v>0</v>
      </c>
    </row>
    <row r="90" spans="1:23" hidden="1">
      <c r="A90" s="28">
        <v>4</v>
      </c>
      <c r="C90" s="31"/>
      <c r="D90" s="87"/>
      <c r="E90" s="82"/>
      <c r="F90" s="82"/>
      <c r="G90" s="82"/>
      <c r="H90" s="82"/>
      <c r="I90" s="47">
        <f t="shared" si="20"/>
        <v>0</v>
      </c>
      <c r="J90" s="30"/>
      <c r="K90" s="30"/>
      <c r="L90" s="28"/>
      <c r="M90" s="82"/>
      <c r="N90" s="262">
        <f t="shared" si="17"/>
        <v>0</v>
      </c>
      <c r="O90" s="274">
        <f t="shared" si="22"/>
        <v>0</v>
      </c>
      <c r="P90" s="272">
        <f t="shared" si="21"/>
        <v>0</v>
      </c>
      <c r="R90" s="274">
        <f t="shared" si="15"/>
        <v>0</v>
      </c>
    </row>
    <row r="91" spans="1:23" hidden="1">
      <c r="C91" s="30"/>
      <c r="D91" s="93"/>
      <c r="E91" s="82"/>
      <c r="F91" s="82"/>
      <c r="G91" s="82"/>
      <c r="H91" s="82"/>
      <c r="I91" s="47">
        <f t="shared" si="20"/>
        <v>0</v>
      </c>
      <c r="J91" s="30"/>
      <c r="K91" s="30"/>
      <c r="L91" s="28"/>
      <c r="M91" s="82"/>
      <c r="N91" s="263">
        <f t="shared" si="17"/>
        <v>0</v>
      </c>
      <c r="O91" s="274">
        <f t="shared" si="22"/>
        <v>0</v>
      </c>
      <c r="P91" s="272">
        <f t="shared" si="21"/>
        <v>0</v>
      </c>
      <c r="R91" s="274">
        <f t="shared" si="15"/>
        <v>0</v>
      </c>
    </row>
    <row r="92" spans="1:23">
      <c r="C92" s="30"/>
      <c r="D92" s="93"/>
      <c r="E92" s="82"/>
      <c r="F92" s="82"/>
      <c r="G92" s="82"/>
      <c r="H92" s="82"/>
      <c r="I92" s="82"/>
      <c r="J92" s="30"/>
      <c r="K92" s="30"/>
      <c r="L92" s="28"/>
      <c r="M92" s="82"/>
      <c r="N92" s="33"/>
      <c r="P92" s="28"/>
    </row>
    <row r="93" spans="1:23" s="265" customFormat="1" ht="13.5">
      <c r="C93" s="266"/>
      <c r="D93" s="267"/>
      <c r="E93" s="268"/>
      <c r="F93" s="268"/>
      <c r="G93" s="268"/>
      <c r="H93" s="268"/>
      <c r="I93" s="268"/>
      <c r="J93" s="266"/>
      <c r="K93" s="266"/>
      <c r="M93" s="268"/>
      <c r="N93" s="269"/>
      <c r="O93" s="268"/>
      <c r="R93" s="268"/>
      <c r="T93" s="268"/>
      <c r="W93" s="268"/>
    </row>
    <row r="94" spans="1:23" hidden="1">
      <c r="A94" s="270" t="s">
        <v>154</v>
      </c>
      <c r="C94" s="30"/>
      <c r="D94" s="93"/>
      <c r="E94" s="82"/>
      <c r="F94" s="82"/>
      <c r="G94" s="82"/>
      <c r="H94" s="82"/>
      <c r="I94" s="82"/>
      <c r="J94" s="30"/>
      <c r="K94" s="30"/>
      <c r="L94" s="28"/>
      <c r="M94" s="82"/>
      <c r="N94" s="33"/>
      <c r="P94" s="28"/>
    </row>
  </sheetData>
  <mergeCells count="21">
    <mergeCell ref="B3:R3"/>
    <mergeCell ref="B4:R4"/>
    <mergeCell ref="B5:R5"/>
    <mergeCell ref="B7:B10"/>
    <mergeCell ref="C7:C10"/>
    <mergeCell ref="D7:D10"/>
    <mergeCell ref="E7:E10"/>
    <mergeCell ref="F7:F10"/>
    <mergeCell ref="G7:G10"/>
    <mergeCell ref="I7:I10"/>
    <mergeCell ref="K7:K10"/>
    <mergeCell ref="M7:P7"/>
    <mergeCell ref="R7:R8"/>
    <mergeCell ref="H7:H10"/>
    <mergeCell ref="T7:T10"/>
    <mergeCell ref="M8:M10"/>
    <mergeCell ref="O8:P8"/>
    <mergeCell ref="N9:N10"/>
    <mergeCell ref="O9:O10"/>
    <mergeCell ref="P9:P10"/>
    <mergeCell ref="R9:R10"/>
  </mergeCells>
  <pageMargins left="0.7" right="0.7" top="0.75" bottom="0.75" header="0.3" footer="0.3"/>
  <pageSetup orientation="landscape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 tint="-0.89999084444715716"/>
  </sheetPr>
  <dimension ref="A2:CX71"/>
  <sheetViews>
    <sheetView zoomScale="90" zoomScaleNormal="90" workbookViewId="0">
      <selection activeCell="O79" sqref="O79"/>
    </sheetView>
  </sheetViews>
  <sheetFormatPr defaultRowHeight="12"/>
  <cols>
    <col min="1" max="1" width="3.140625" style="28" customWidth="1"/>
    <col min="2" max="2" width="15.7109375" style="28" customWidth="1"/>
    <col min="3" max="3" width="6.5703125" style="28" hidden="1" customWidth="1"/>
    <col min="4" max="4" width="7.5703125" style="30" hidden="1" customWidth="1"/>
    <col min="5" max="5" width="7.28515625" style="30" hidden="1" customWidth="1"/>
    <col min="6" max="6" width="7.5703125" style="30" hidden="1" customWidth="1"/>
    <col min="7" max="7" width="9.42578125" style="30" hidden="1" customWidth="1"/>
    <col min="8" max="8" width="14.42578125" style="30" hidden="1" customWidth="1"/>
    <col min="9" max="9" width="14.85546875" style="93" customWidth="1"/>
    <col min="10" max="10" width="1" style="82" customWidth="1"/>
    <col min="11" max="11" width="7.85546875" style="32" customWidth="1"/>
    <col min="12" max="12" width="1.140625" style="87" customWidth="1"/>
    <col min="13" max="13" width="11.140625" style="93" customWidth="1"/>
    <col min="14" max="14" width="11" style="93" customWidth="1"/>
    <col min="15" max="15" width="11.42578125" style="82" customWidth="1"/>
    <col min="16" max="16" width="11" style="82" customWidth="1"/>
    <col min="17" max="17" width="1.7109375" style="82" customWidth="1"/>
    <col min="18" max="18" width="10.85546875" style="82" customWidth="1"/>
    <col min="19" max="19" width="1.7109375" style="82" customWidth="1"/>
    <col min="20" max="20" width="13.5703125" style="82" customWidth="1"/>
    <col min="21" max="21" width="11" style="28" bestFit="1" customWidth="1"/>
    <col min="22" max="22" width="9.140625" style="28"/>
    <col min="23" max="23" width="11" style="28" bestFit="1" customWidth="1"/>
    <col min="24" max="39" width="9.140625" style="28"/>
    <col min="40" max="102" width="9.140625" style="81"/>
    <col min="103" max="16384" width="9.140625" style="28"/>
  </cols>
  <sheetData>
    <row r="2" spans="2:23">
      <c r="B2" s="28" t="s">
        <v>319</v>
      </c>
    </row>
    <row r="3" spans="2:23">
      <c r="B3" s="456" t="s">
        <v>156</v>
      </c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456"/>
      <c r="Q3" s="456"/>
      <c r="R3" s="456"/>
    </row>
    <row r="4" spans="2:23">
      <c r="B4" s="437" t="s">
        <v>127</v>
      </c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7"/>
      <c r="S4" s="282"/>
      <c r="U4" s="33"/>
    </row>
    <row r="5" spans="2:23">
      <c r="B5" s="437" t="s">
        <v>247</v>
      </c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  <c r="O5" s="437"/>
      <c r="P5" s="437"/>
      <c r="Q5" s="437"/>
      <c r="R5" s="437"/>
      <c r="S5" s="282"/>
      <c r="U5" s="33"/>
    </row>
    <row r="6" spans="2:23">
      <c r="B6" s="437"/>
      <c r="C6" s="437"/>
      <c r="D6" s="437"/>
      <c r="E6" s="437"/>
      <c r="F6" s="437"/>
      <c r="G6" s="437"/>
      <c r="H6" s="437"/>
      <c r="I6" s="437"/>
      <c r="J6" s="437"/>
      <c r="K6" s="437"/>
      <c r="L6" s="437"/>
      <c r="M6" s="437"/>
      <c r="N6" s="437"/>
      <c r="O6" s="437"/>
      <c r="P6" s="93"/>
      <c r="S6" s="282"/>
      <c r="U6" s="33"/>
    </row>
    <row r="7" spans="2:23" ht="15" customHeight="1">
      <c r="B7" s="459"/>
      <c r="C7" s="459"/>
      <c r="D7" s="459"/>
      <c r="E7" s="459"/>
      <c r="F7" s="459"/>
      <c r="G7" s="459"/>
      <c r="H7" s="459"/>
      <c r="I7" s="459"/>
      <c r="J7" s="459"/>
      <c r="K7" s="459"/>
      <c r="L7" s="459"/>
      <c r="M7" s="459"/>
      <c r="N7" s="87"/>
      <c r="O7" s="93"/>
      <c r="P7" s="93"/>
      <c r="S7" s="282"/>
      <c r="U7" s="33"/>
    </row>
    <row r="9" spans="2:23" ht="12" customHeight="1">
      <c r="B9" s="438" t="s">
        <v>129</v>
      </c>
      <c r="C9" s="431" t="s">
        <v>130</v>
      </c>
      <c r="D9" s="454" t="s">
        <v>131</v>
      </c>
      <c r="E9" s="438" t="s">
        <v>132</v>
      </c>
      <c r="F9" s="438" t="s">
        <v>157</v>
      </c>
      <c r="G9" s="438" t="s">
        <v>158</v>
      </c>
      <c r="H9" s="438" t="s">
        <v>317</v>
      </c>
      <c r="I9" s="460" t="s">
        <v>135</v>
      </c>
      <c r="K9" s="441" t="s">
        <v>5</v>
      </c>
      <c r="L9" s="83"/>
      <c r="M9" s="458" t="s">
        <v>314</v>
      </c>
      <c r="N9" s="458"/>
      <c r="O9" s="458"/>
      <c r="P9" s="458"/>
      <c r="Q9" s="286"/>
      <c r="R9" s="427" t="s">
        <v>315</v>
      </c>
      <c r="S9" s="286"/>
      <c r="T9" s="457" t="s">
        <v>306</v>
      </c>
    </row>
    <row r="10" spans="2:23">
      <c r="B10" s="438"/>
      <c r="C10" s="432"/>
      <c r="D10" s="454"/>
      <c r="E10" s="438"/>
      <c r="F10" s="438"/>
      <c r="G10" s="438"/>
      <c r="H10" s="438"/>
      <c r="I10" s="460"/>
      <c r="K10" s="443"/>
      <c r="L10" s="83"/>
      <c r="M10" s="427" t="s">
        <v>67</v>
      </c>
      <c r="N10" s="44">
        <v>1</v>
      </c>
      <c r="O10" s="288">
        <v>2</v>
      </c>
      <c r="P10" s="289"/>
      <c r="Q10" s="286"/>
      <c r="R10" s="427"/>
      <c r="S10" s="286"/>
      <c r="T10" s="457"/>
    </row>
    <row r="11" spans="2:23" ht="12" customHeight="1">
      <c r="B11" s="438"/>
      <c r="C11" s="432"/>
      <c r="D11" s="454"/>
      <c r="E11" s="438"/>
      <c r="F11" s="438"/>
      <c r="G11" s="438"/>
      <c r="H11" s="438"/>
      <c r="I11" s="460"/>
      <c r="K11" s="443"/>
      <c r="L11" s="83"/>
      <c r="M11" s="427"/>
      <c r="N11" s="427" t="s">
        <v>320</v>
      </c>
      <c r="O11" s="379" t="s">
        <v>321</v>
      </c>
      <c r="P11" s="379" t="s">
        <v>159</v>
      </c>
      <c r="Q11" s="83"/>
      <c r="R11" s="379" t="s">
        <v>316</v>
      </c>
      <c r="S11" s="287"/>
      <c r="T11" s="457"/>
    </row>
    <row r="12" spans="2:23" ht="36" customHeight="1">
      <c r="B12" s="431"/>
      <c r="C12" s="432"/>
      <c r="D12" s="455"/>
      <c r="E12" s="431"/>
      <c r="F12" s="431"/>
      <c r="G12" s="431"/>
      <c r="H12" s="431"/>
      <c r="I12" s="461"/>
      <c r="K12" s="443"/>
      <c r="L12" s="83"/>
      <c r="M12" s="379"/>
      <c r="N12" s="379"/>
      <c r="O12" s="380"/>
      <c r="P12" s="380"/>
      <c r="R12" s="380"/>
      <c r="T12" s="434"/>
    </row>
    <row r="13" spans="2:23" ht="30" customHeight="1">
      <c r="B13" s="223" t="s">
        <v>160</v>
      </c>
      <c r="C13" s="195" t="s">
        <v>139</v>
      </c>
      <c r="D13" s="65">
        <v>42</v>
      </c>
      <c r="E13" s="47">
        <f>'[2]Price per sqm-FF'!F3</f>
        <v>59000</v>
      </c>
      <c r="F13" s="47">
        <f t="shared" ref="F13:F52" si="0">E13*1.05</f>
        <v>61950</v>
      </c>
      <c r="G13" s="47">
        <f>F13*1.02</f>
        <v>63189</v>
      </c>
      <c r="H13" s="290">
        <f>G13*1.07</f>
        <v>67612.23000000001</v>
      </c>
      <c r="I13" s="292">
        <f>H13*D13</f>
        <v>2839713.6600000006</v>
      </c>
      <c r="K13" s="198">
        <v>15000</v>
      </c>
      <c r="M13" s="294">
        <f>I13*0.1-K13</f>
        <v>268971.3660000001</v>
      </c>
      <c r="N13" s="292">
        <f>M13/12</f>
        <v>22414.280500000008</v>
      </c>
      <c r="O13" s="276">
        <f>(I13*0.05-K13)/11</f>
        <v>11544.153000000004</v>
      </c>
      <c r="P13" s="300">
        <f>M13-(O13*11)</f>
        <v>141985.68300000005</v>
      </c>
      <c r="R13" s="276">
        <f>PMT(14%/12,180,-I13*0.9)+T13/180</f>
        <v>34616.022341065516</v>
      </c>
      <c r="T13" s="276">
        <v>104426</v>
      </c>
      <c r="U13" s="49"/>
      <c r="W13" s="49"/>
    </row>
    <row r="14" spans="2:23">
      <c r="B14" s="224" t="s">
        <v>161</v>
      </c>
      <c r="C14" s="195" t="s">
        <v>139</v>
      </c>
      <c r="D14" s="65">
        <v>42</v>
      </c>
      <c r="E14" s="47">
        <f>E13</f>
        <v>59000</v>
      </c>
      <c r="F14" s="47">
        <f t="shared" si="0"/>
        <v>61950</v>
      </c>
      <c r="G14" s="47">
        <f t="shared" ref="G14:G52" si="1">F14*1.02</f>
        <v>63189</v>
      </c>
      <c r="H14" s="290">
        <f t="shared" ref="H14:H21" si="2">G14*1.07</f>
        <v>67612.23000000001</v>
      </c>
      <c r="I14" s="293">
        <f t="shared" ref="I14:I21" si="3">H14*D14</f>
        <v>2839713.6600000006</v>
      </c>
      <c r="K14" s="213">
        <v>15000</v>
      </c>
      <c r="M14" s="295">
        <f t="shared" ref="M14:M21" si="4">I14*0.1-K14</f>
        <v>268971.3660000001</v>
      </c>
      <c r="N14" s="293">
        <f t="shared" ref="N14:N21" si="5">M14/12</f>
        <v>22414.280500000008</v>
      </c>
      <c r="O14" s="238">
        <f t="shared" ref="O14:O21" si="6">(I14*0.05-K14)/11</f>
        <v>11544.153000000004</v>
      </c>
      <c r="P14" s="301">
        <f t="shared" ref="P14:P21" si="7">M14-(O14*11)</f>
        <v>141985.68300000005</v>
      </c>
      <c r="R14" s="238">
        <f t="shared" ref="R14:R52" si="8">PMT(14%/12,180,-I14*0.9)+T14/180</f>
        <v>34616.022341065516</v>
      </c>
      <c r="T14" s="238">
        <v>104426</v>
      </c>
      <c r="U14" s="49"/>
    </row>
    <row r="15" spans="2:23">
      <c r="B15" s="224" t="s">
        <v>162</v>
      </c>
      <c r="C15" s="195" t="s">
        <v>139</v>
      </c>
      <c r="D15" s="65">
        <v>42</v>
      </c>
      <c r="E15" s="47">
        <f>E14</f>
        <v>59000</v>
      </c>
      <c r="F15" s="47">
        <f t="shared" si="0"/>
        <v>61950</v>
      </c>
      <c r="G15" s="47">
        <f t="shared" si="1"/>
        <v>63189</v>
      </c>
      <c r="H15" s="290">
        <f t="shared" si="2"/>
        <v>67612.23000000001</v>
      </c>
      <c r="I15" s="293">
        <f t="shared" si="3"/>
        <v>2839713.6600000006</v>
      </c>
      <c r="K15" s="213">
        <v>15000</v>
      </c>
      <c r="M15" s="295">
        <f t="shared" si="4"/>
        <v>268971.3660000001</v>
      </c>
      <c r="N15" s="293">
        <f t="shared" si="5"/>
        <v>22414.280500000008</v>
      </c>
      <c r="O15" s="238">
        <f t="shared" si="6"/>
        <v>11544.153000000004</v>
      </c>
      <c r="P15" s="301">
        <f t="shared" si="7"/>
        <v>141985.68300000005</v>
      </c>
      <c r="R15" s="238">
        <f t="shared" si="8"/>
        <v>34616.022341065516</v>
      </c>
      <c r="T15" s="238">
        <v>104426</v>
      </c>
    </row>
    <row r="16" spans="2:23">
      <c r="B16" s="224" t="s">
        <v>163</v>
      </c>
      <c r="C16" s="195" t="s">
        <v>139</v>
      </c>
      <c r="D16" s="65">
        <v>42</v>
      </c>
      <c r="E16" s="47">
        <f>E15</f>
        <v>59000</v>
      </c>
      <c r="F16" s="47">
        <f t="shared" si="0"/>
        <v>61950</v>
      </c>
      <c r="G16" s="47">
        <f t="shared" si="1"/>
        <v>63189</v>
      </c>
      <c r="H16" s="290">
        <f t="shared" si="2"/>
        <v>67612.23000000001</v>
      </c>
      <c r="I16" s="293">
        <f t="shared" si="3"/>
        <v>2839713.6600000006</v>
      </c>
      <c r="K16" s="213">
        <v>15000</v>
      </c>
      <c r="M16" s="295">
        <f t="shared" si="4"/>
        <v>268971.3660000001</v>
      </c>
      <c r="N16" s="293">
        <f t="shared" si="5"/>
        <v>22414.280500000008</v>
      </c>
      <c r="O16" s="238">
        <f t="shared" si="6"/>
        <v>11544.153000000004</v>
      </c>
      <c r="P16" s="301">
        <f t="shared" si="7"/>
        <v>141985.68300000005</v>
      </c>
      <c r="R16" s="238">
        <f t="shared" si="8"/>
        <v>34616.022341065516</v>
      </c>
      <c r="T16" s="238">
        <v>104426</v>
      </c>
    </row>
    <row r="17" spans="1:102">
      <c r="B17" s="224" t="s">
        <v>164</v>
      </c>
      <c r="C17" s="195" t="s">
        <v>137</v>
      </c>
      <c r="D17" s="65">
        <v>42</v>
      </c>
      <c r="E17" s="47">
        <f>'[2]Price per sqm-FF'!E3</f>
        <v>60500</v>
      </c>
      <c r="F17" s="47">
        <f t="shared" si="0"/>
        <v>63525</v>
      </c>
      <c r="G17" s="47">
        <f t="shared" si="1"/>
        <v>64795.5</v>
      </c>
      <c r="H17" s="290">
        <f t="shared" si="2"/>
        <v>69331.184999999998</v>
      </c>
      <c r="I17" s="293">
        <f t="shared" si="3"/>
        <v>2911909.77</v>
      </c>
      <c r="K17" s="213">
        <v>15000</v>
      </c>
      <c r="M17" s="295">
        <f t="shared" si="4"/>
        <v>276190.97700000001</v>
      </c>
      <c r="N17" s="293">
        <f t="shared" si="5"/>
        <v>23015.91475</v>
      </c>
      <c r="O17" s="238">
        <f t="shared" si="6"/>
        <v>11872.317136363637</v>
      </c>
      <c r="P17" s="301">
        <f t="shared" si="7"/>
        <v>145595.48850000001</v>
      </c>
      <c r="R17" s="238">
        <f t="shared" si="8"/>
        <v>35494.374603973956</v>
      </c>
      <c r="T17" s="238">
        <v>106772</v>
      </c>
    </row>
    <row r="18" spans="1:102" ht="30" hidden="1" customHeight="1">
      <c r="B18" s="224" t="s">
        <v>165</v>
      </c>
      <c r="C18" s="195" t="s">
        <v>139</v>
      </c>
      <c r="D18" s="65">
        <v>42</v>
      </c>
      <c r="E18" s="47">
        <f>'[2]Price per sqm-FF'!F4</f>
        <v>60000</v>
      </c>
      <c r="F18" s="47">
        <f t="shared" si="0"/>
        <v>63000</v>
      </c>
      <c r="G18" s="47">
        <f t="shared" si="1"/>
        <v>64260</v>
      </c>
      <c r="H18" s="290">
        <f t="shared" si="2"/>
        <v>68758.2</v>
      </c>
      <c r="I18" s="293">
        <f t="shared" si="3"/>
        <v>2887844.4</v>
      </c>
      <c r="K18" s="213">
        <v>15000</v>
      </c>
      <c r="M18" s="295">
        <f t="shared" si="4"/>
        <v>273784.44</v>
      </c>
      <c r="N18" s="293">
        <f t="shared" si="5"/>
        <v>22815.37</v>
      </c>
      <c r="O18" s="238">
        <f t="shared" si="6"/>
        <v>11762.929090909091</v>
      </c>
      <c r="P18" s="301">
        <f t="shared" si="7"/>
        <v>144392.22</v>
      </c>
      <c r="R18" s="238">
        <f t="shared" si="8"/>
        <v>35414.936183004473</v>
      </c>
      <c r="T18" s="238">
        <f t="shared" ref="T18:T52" si="9">I18*0.05</f>
        <v>144392.22</v>
      </c>
    </row>
    <row r="19" spans="1:102" hidden="1">
      <c r="B19" s="224" t="s">
        <v>166</v>
      </c>
      <c r="C19" s="195" t="s">
        <v>139</v>
      </c>
      <c r="D19" s="65">
        <v>42</v>
      </c>
      <c r="E19" s="47">
        <f>E18</f>
        <v>60000</v>
      </c>
      <c r="F19" s="47">
        <f t="shared" si="0"/>
        <v>63000</v>
      </c>
      <c r="G19" s="47">
        <f t="shared" si="1"/>
        <v>64260</v>
      </c>
      <c r="H19" s="290">
        <f t="shared" si="2"/>
        <v>68758.2</v>
      </c>
      <c r="I19" s="293">
        <f t="shared" si="3"/>
        <v>2887844.4</v>
      </c>
      <c r="K19" s="213">
        <v>15000</v>
      </c>
      <c r="M19" s="295">
        <f t="shared" si="4"/>
        <v>273784.44</v>
      </c>
      <c r="N19" s="293">
        <f t="shared" si="5"/>
        <v>22815.37</v>
      </c>
      <c r="O19" s="238">
        <f t="shared" si="6"/>
        <v>11762.929090909091</v>
      </c>
      <c r="P19" s="301">
        <f t="shared" si="7"/>
        <v>144392.22</v>
      </c>
      <c r="R19" s="238">
        <f t="shared" si="8"/>
        <v>35414.936183004473</v>
      </c>
      <c r="T19" s="238">
        <f t="shared" si="9"/>
        <v>144392.22</v>
      </c>
    </row>
    <row r="20" spans="1:102" hidden="1">
      <c r="B20" s="224" t="s">
        <v>167</v>
      </c>
      <c r="C20" s="195" t="s">
        <v>139</v>
      </c>
      <c r="D20" s="65">
        <v>42</v>
      </c>
      <c r="E20" s="47">
        <f>E19</f>
        <v>60000</v>
      </c>
      <c r="F20" s="47">
        <f t="shared" si="0"/>
        <v>63000</v>
      </c>
      <c r="G20" s="47">
        <f t="shared" si="1"/>
        <v>64260</v>
      </c>
      <c r="H20" s="290">
        <f t="shared" si="2"/>
        <v>68758.2</v>
      </c>
      <c r="I20" s="293">
        <f t="shared" si="3"/>
        <v>2887844.4</v>
      </c>
      <c r="K20" s="213">
        <v>15000</v>
      </c>
      <c r="M20" s="295">
        <f t="shared" si="4"/>
        <v>273784.44</v>
      </c>
      <c r="N20" s="293">
        <f t="shared" si="5"/>
        <v>22815.37</v>
      </c>
      <c r="O20" s="238">
        <f t="shared" si="6"/>
        <v>11762.929090909091</v>
      </c>
      <c r="P20" s="301">
        <f t="shared" si="7"/>
        <v>144392.22</v>
      </c>
      <c r="R20" s="238">
        <f t="shared" si="8"/>
        <v>35414.936183004473</v>
      </c>
      <c r="T20" s="238">
        <f t="shared" si="9"/>
        <v>144392.22</v>
      </c>
    </row>
    <row r="21" spans="1:102">
      <c r="B21" s="101" t="s">
        <v>168</v>
      </c>
      <c r="C21" s="195" t="s">
        <v>139</v>
      </c>
      <c r="D21" s="65">
        <v>42</v>
      </c>
      <c r="E21" s="47">
        <f>E20</f>
        <v>60000</v>
      </c>
      <c r="F21" s="47">
        <f t="shared" si="0"/>
        <v>63000</v>
      </c>
      <c r="G21" s="47">
        <f t="shared" si="1"/>
        <v>64260</v>
      </c>
      <c r="H21" s="290">
        <f t="shared" si="2"/>
        <v>68758.2</v>
      </c>
      <c r="I21" s="291">
        <f t="shared" si="3"/>
        <v>2887844.4</v>
      </c>
      <c r="K21" s="202">
        <v>15000</v>
      </c>
      <c r="M21" s="296">
        <f t="shared" si="4"/>
        <v>273784.44</v>
      </c>
      <c r="N21" s="291">
        <f t="shared" si="5"/>
        <v>22815.37</v>
      </c>
      <c r="O21" s="239">
        <f t="shared" si="6"/>
        <v>11762.929090909091</v>
      </c>
      <c r="P21" s="302">
        <f t="shared" si="7"/>
        <v>144392.22</v>
      </c>
      <c r="R21" s="239">
        <f t="shared" si="8"/>
        <v>35201.590516337812</v>
      </c>
      <c r="T21" s="239">
        <v>105990</v>
      </c>
    </row>
    <row r="22" spans="1:102" hidden="1">
      <c r="B22" s="101" t="s">
        <v>169</v>
      </c>
      <c r="C22" s="65" t="s">
        <v>137</v>
      </c>
      <c r="D22" s="65">
        <v>42</v>
      </c>
      <c r="E22" s="47">
        <f>'[2]Price per sqm-FF'!E4</f>
        <v>61500</v>
      </c>
      <c r="F22" s="47">
        <f t="shared" si="0"/>
        <v>64575</v>
      </c>
      <c r="G22" s="47">
        <f t="shared" si="1"/>
        <v>65866.5</v>
      </c>
      <c r="H22" s="47"/>
      <c r="I22" s="291">
        <f t="shared" ref="I22:I52" si="10">D22*G22</f>
        <v>2766393</v>
      </c>
      <c r="K22" s="202">
        <v>15000</v>
      </c>
      <c r="M22" s="291">
        <f t="shared" ref="M22:M52" si="11">I22*0.2-K22</f>
        <v>538278.6</v>
      </c>
      <c r="N22" s="291">
        <f t="shared" ref="N22:N52" si="12">M22/20</f>
        <v>26913.93</v>
      </c>
      <c r="O22" s="239">
        <f t="shared" ref="O22:O52" si="13">(I22*0.15-K22)/19</f>
        <v>21050.471052631579</v>
      </c>
      <c r="P22" s="239">
        <f t="shared" ref="P22:P52" si="14">M22-(O22*19)</f>
        <v>138319.64999999997</v>
      </c>
      <c r="R22" s="238">
        <f t="shared" si="8"/>
        <v>33925.522979046349</v>
      </c>
      <c r="T22" s="239">
        <f t="shared" si="9"/>
        <v>138319.65</v>
      </c>
    </row>
    <row r="23" spans="1:102" ht="30" hidden="1" customHeight="1">
      <c r="B23" s="65">
        <v>107</v>
      </c>
      <c r="C23" s="65" t="s">
        <v>139</v>
      </c>
      <c r="D23" s="65">
        <v>42</v>
      </c>
      <c r="E23" s="47">
        <f>'[2]Price per sqm-FF'!F6</f>
        <v>62000</v>
      </c>
      <c r="F23" s="47">
        <f t="shared" si="0"/>
        <v>65100</v>
      </c>
      <c r="G23" s="47">
        <f t="shared" si="1"/>
        <v>66402</v>
      </c>
      <c r="H23" s="47"/>
      <c r="I23" s="86">
        <f t="shared" si="10"/>
        <v>2788884</v>
      </c>
      <c r="K23" s="47">
        <v>15000</v>
      </c>
      <c r="M23" s="86">
        <f t="shared" si="11"/>
        <v>542776.80000000005</v>
      </c>
      <c r="N23" s="86">
        <f t="shared" si="12"/>
        <v>27138.840000000004</v>
      </c>
      <c r="O23" s="274">
        <f t="shared" si="13"/>
        <v>21228.031578947368</v>
      </c>
      <c r="P23" s="274">
        <f t="shared" si="14"/>
        <v>139444.20000000007</v>
      </c>
      <c r="R23" s="238">
        <f t="shared" si="8"/>
        <v>34201.340239038596</v>
      </c>
      <c r="T23" s="274">
        <f t="shared" si="9"/>
        <v>139444.20000000001</v>
      </c>
    </row>
    <row r="24" spans="1:102" hidden="1">
      <c r="B24" s="65">
        <v>108</v>
      </c>
      <c r="C24" s="65" t="s">
        <v>139</v>
      </c>
      <c r="D24" s="65">
        <v>42</v>
      </c>
      <c r="E24" s="47">
        <f>E23</f>
        <v>62000</v>
      </c>
      <c r="F24" s="47">
        <f t="shared" si="0"/>
        <v>65100</v>
      </c>
      <c r="G24" s="47">
        <f t="shared" si="1"/>
        <v>66402</v>
      </c>
      <c r="H24" s="47"/>
      <c r="I24" s="86">
        <f t="shared" si="10"/>
        <v>2788884</v>
      </c>
      <c r="K24" s="47">
        <v>15000</v>
      </c>
      <c r="M24" s="86">
        <f t="shared" si="11"/>
        <v>542776.80000000005</v>
      </c>
      <c r="N24" s="86">
        <f t="shared" si="12"/>
        <v>27138.840000000004</v>
      </c>
      <c r="O24" s="274">
        <f t="shared" si="13"/>
        <v>21228.031578947368</v>
      </c>
      <c r="P24" s="274">
        <f t="shared" si="14"/>
        <v>139444.20000000007</v>
      </c>
      <c r="R24" s="238">
        <f t="shared" si="8"/>
        <v>34201.340239038596</v>
      </c>
      <c r="T24" s="274">
        <f t="shared" si="9"/>
        <v>139444.20000000001</v>
      </c>
    </row>
    <row r="25" spans="1:102" hidden="1">
      <c r="B25" s="65">
        <v>109</v>
      </c>
      <c r="C25" s="65" t="s">
        <v>139</v>
      </c>
      <c r="D25" s="65">
        <v>42</v>
      </c>
      <c r="E25" s="47">
        <f>E24</f>
        <v>62000</v>
      </c>
      <c r="F25" s="47">
        <f t="shared" si="0"/>
        <v>65100</v>
      </c>
      <c r="G25" s="47">
        <f t="shared" si="1"/>
        <v>66402</v>
      </c>
      <c r="H25" s="47"/>
      <c r="I25" s="86">
        <f t="shared" si="10"/>
        <v>2788884</v>
      </c>
      <c r="K25" s="47">
        <v>15000</v>
      </c>
      <c r="M25" s="86">
        <f t="shared" si="11"/>
        <v>542776.80000000005</v>
      </c>
      <c r="N25" s="86">
        <f t="shared" si="12"/>
        <v>27138.840000000004</v>
      </c>
      <c r="O25" s="274">
        <f t="shared" si="13"/>
        <v>21228.031578947368</v>
      </c>
      <c r="P25" s="274">
        <f t="shared" si="14"/>
        <v>139444.20000000007</v>
      </c>
      <c r="R25" s="238">
        <f t="shared" si="8"/>
        <v>34201.340239038596</v>
      </c>
      <c r="T25" s="274">
        <f t="shared" si="9"/>
        <v>139444.20000000001</v>
      </c>
    </row>
    <row r="26" spans="1:102" hidden="1">
      <c r="B26" s="65">
        <v>110</v>
      </c>
      <c r="C26" s="65" t="s">
        <v>139</v>
      </c>
      <c r="D26" s="65">
        <v>42</v>
      </c>
      <c r="E26" s="47">
        <f>E25</f>
        <v>62000</v>
      </c>
      <c r="F26" s="47">
        <f t="shared" si="0"/>
        <v>65100</v>
      </c>
      <c r="G26" s="47">
        <f t="shared" si="1"/>
        <v>66402</v>
      </c>
      <c r="H26" s="47"/>
      <c r="I26" s="86">
        <f t="shared" si="10"/>
        <v>2788884</v>
      </c>
      <c r="K26" s="47">
        <v>15000</v>
      </c>
      <c r="M26" s="86">
        <f t="shared" si="11"/>
        <v>542776.80000000005</v>
      </c>
      <c r="N26" s="86">
        <f t="shared" si="12"/>
        <v>27138.840000000004</v>
      </c>
      <c r="O26" s="274">
        <f t="shared" si="13"/>
        <v>21228.031578947368</v>
      </c>
      <c r="P26" s="274">
        <f t="shared" si="14"/>
        <v>139444.20000000007</v>
      </c>
      <c r="R26" s="238">
        <f t="shared" si="8"/>
        <v>34201.340239038596</v>
      </c>
      <c r="T26" s="274">
        <f t="shared" si="9"/>
        <v>139444.20000000001</v>
      </c>
    </row>
    <row r="27" spans="1:102" hidden="1">
      <c r="B27" s="65">
        <v>111</v>
      </c>
      <c r="C27" s="65" t="s">
        <v>137</v>
      </c>
      <c r="D27" s="65">
        <v>42</v>
      </c>
      <c r="E27" s="47">
        <f>'[2]Price per sqm-FF'!E6</f>
        <v>63500</v>
      </c>
      <c r="F27" s="47">
        <f t="shared" si="0"/>
        <v>66675</v>
      </c>
      <c r="G27" s="47">
        <f t="shared" si="1"/>
        <v>68008.5</v>
      </c>
      <c r="H27" s="47"/>
      <c r="I27" s="86">
        <f t="shared" si="10"/>
        <v>2856357</v>
      </c>
      <c r="K27" s="47">
        <v>15000</v>
      </c>
      <c r="M27" s="86">
        <f t="shared" si="11"/>
        <v>556271.4</v>
      </c>
      <c r="N27" s="86">
        <f t="shared" si="12"/>
        <v>27813.57</v>
      </c>
      <c r="O27" s="274">
        <f t="shared" si="13"/>
        <v>21760.713157894737</v>
      </c>
      <c r="P27" s="274">
        <f t="shared" si="14"/>
        <v>142817.85000000003</v>
      </c>
      <c r="R27" s="238">
        <f t="shared" si="8"/>
        <v>35028.792019015338</v>
      </c>
      <c r="T27" s="274">
        <f t="shared" si="9"/>
        <v>142817.85</v>
      </c>
    </row>
    <row r="28" spans="1:102" s="81" customFormat="1" ht="30" hidden="1" customHeight="1">
      <c r="A28" s="28"/>
      <c r="B28" s="88">
        <v>208</v>
      </c>
      <c r="C28" s="88" t="s">
        <v>143</v>
      </c>
      <c r="D28" s="88">
        <v>42</v>
      </c>
      <c r="E28" s="89">
        <f>'[2]Price per sqm-FF'!D7</f>
        <v>66000</v>
      </c>
      <c r="F28" s="47">
        <f t="shared" si="0"/>
        <v>69300</v>
      </c>
      <c r="G28" s="47">
        <f t="shared" si="1"/>
        <v>70686</v>
      </c>
      <c r="H28" s="47"/>
      <c r="I28" s="86">
        <f t="shared" si="10"/>
        <v>2968812</v>
      </c>
      <c r="J28" s="82"/>
      <c r="K28" s="47">
        <v>15000</v>
      </c>
      <c r="L28" s="87"/>
      <c r="M28" s="86">
        <f t="shared" si="11"/>
        <v>578762.4</v>
      </c>
      <c r="N28" s="86">
        <f t="shared" si="12"/>
        <v>28938.120000000003</v>
      </c>
      <c r="O28" s="274">
        <f t="shared" si="13"/>
        <v>22648.515789473684</v>
      </c>
      <c r="P28" s="274">
        <f t="shared" si="14"/>
        <v>148440.60000000003</v>
      </c>
      <c r="Q28" s="82"/>
      <c r="R28" s="238">
        <f t="shared" si="8"/>
        <v>36407.878318976567</v>
      </c>
      <c r="S28" s="82"/>
      <c r="T28" s="274">
        <f t="shared" si="9"/>
        <v>148440.6</v>
      </c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</row>
    <row r="29" spans="1:102" s="92" customFormat="1" hidden="1">
      <c r="A29" s="28"/>
      <c r="B29" s="90">
        <v>209</v>
      </c>
      <c r="C29" s="90" t="s">
        <v>143</v>
      </c>
      <c r="D29" s="90">
        <v>42</v>
      </c>
      <c r="E29" s="91">
        <f>'[2]Price per sqm-FF'!D7</f>
        <v>66000</v>
      </c>
      <c r="F29" s="47">
        <f t="shared" si="0"/>
        <v>69300</v>
      </c>
      <c r="G29" s="47">
        <f t="shared" si="1"/>
        <v>70686</v>
      </c>
      <c r="H29" s="47"/>
      <c r="I29" s="86">
        <f t="shared" si="10"/>
        <v>2968812</v>
      </c>
      <c r="J29" s="82"/>
      <c r="K29" s="47">
        <v>15000</v>
      </c>
      <c r="L29" s="87"/>
      <c r="M29" s="86">
        <f t="shared" si="11"/>
        <v>578762.4</v>
      </c>
      <c r="N29" s="86">
        <f t="shared" si="12"/>
        <v>28938.120000000003</v>
      </c>
      <c r="O29" s="274">
        <f t="shared" si="13"/>
        <v>22648.515789473684</v>
      </c>
      <c r="P29" s="274">
        <f t="shared" si="14"/>
        <v>148440.60000000003</v>
      </c>
      <c r="Q29" s="82"/>
      <c r="R29" s="238">
        <f t="shared" si="8"/>
        <v>36407.878318976567</v>
      </c>
      <c r="S29" s="82"/>
      <c r="T29" s="274">
        <f t="shared" si="9"/>
        <v>148440.6</v>
      </c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</row>
    <row r="30" spans="1:102" hidden="1">
      <c r="B30" s="65">
        <v>210</v>
      </c>
      <c r="C30" s="65" t="s">
        <v>139</v>
      </c>
      <c r="D30" s="65">
        <v>42</v>
      </c>
      <c r="E30" s="47">
        <f>'[2]Price per sqm-FF'!F7</f>
        <v>63000</v>
      </c>
      <c r="F30" s="47">
        <f t="shared" si="0"/>
        <v>66150</v>
      </c>
      <c r="G30" s="47">
        <f t="shared" si="1"/>
        <v>67473</v>
      </c>
      <c r="H30" s="47"/>
      <c r="I30" s="86">
        <f t="shared" si="10"/>
        <v>2833866</v>
      </c>
      <c r="K30" s="47">
        <v>15000</v>
      </c>
      <c r="M30" s="86">
        <f t="shared" si="11"/>
        <v>551773.20000000007</v>
      </c>
      <c r="N30" s="86">
        <f t="shared" si="12"/>
        <v>27588.660000000003</v>
      </c>
      <c r="O30" s="274">
        <f t="shared" si="13"/>
        <v>21583.152631578945</v>
      </c>
      <c r="P30" s="274">
        <f t="shared" si="14"/>
        <v>141693.3000000001</v>
      </c>
      <c r="R30" s="238">
        <f t="shared" si="8"/>
        <v>34752.974759023084</v>
      </c>
      <c r="T30" s="274">
        <f t="shared" si="9"/>
        <v>141693.30000000002</v>
      </c>
    </row>
    <row r="31" spans="1:102" hidden="1">
      <c r="B31" s="65">
        <v>211</v>
      </c>
      <c r="C31" s="65" t="s">
        <v>143</v>
      </c>
      <c r="D31" s="65">
        <v>42</v>
      </c>
      <c r="E31" s="47">
        <f>E28</f>
        <v>66000</v>
      </c>
      <c r="F31" s="47">
        <f t="shared" si="0"/>
        <v>69300</v>
      </c>
      <c r="G31" s="47">
        <f t="shared" si="1"/>
        <v>70686</v>
      </c>
      <c r="H31" s="47"/>
      <c r="I31" s="86">
        <f t="shared" si="10"/>
        <v>2968812</v>
      </c>
      <c r="K31" s="47">
        <v>15000</v>
      </c>
      <c r="M31" s="86">
        <f t="shared" si="11"/>
        <v>578762.4</v>
      </c>
      <c r="N31" s="86">
        <f t="shared" si="12"/>
        <v>28938.120000000003</v>
      </c>
      <c r="O31" s="274">
        <f t="shared" si="13"/>
        <v>22648.515789473684</v>
      </c>
      <c r="P31" s="274">
        <f t="shared" si="14"/>
        <v>148440.60000000003</v>
      </c>
      <c r="R31" s="238">
        <f t="shared" si="8"/>
        <v>36407.878318976567</v>
      </c>
      <c r="T31" s="274">
        <f t="shared" si="9"/>
        <v>148440.6</v>
      </c>
    </row>
    <row r="32" spans="1:102" s="92" customFormat="1" hidden="1">
      <c r="A32" s="28"/>
      <c r="B32" s="90">
        <v>212</v>
      </c>
      <c r="C32" s="90" t="s">
        <v>142</v>
      </c>
      <c r="D32" s="90">
        <v>42</v>
      </c>
      <c r="E32" s="91">
        <f>'[2]Price per sqm-FF'!B7</f>
        <v>69000</v>
      </c>
      <c r="F32" s="47">
        <f t="shared" si="0"/>
        <v>72450</v>
      </c>
      <c r="G32" s="47">
        <f t="shared" si="1"/>
        <v>73899</v>
      </c>
      <c r="H32" s="47"/>
      <c r="I32" s="86">
        <f t="shared" si="10"/>
        <v>3103758</v>
      </c>
      <c r="J32" s="82"/>
      <c r="K32" s="47">
        <v>15000</v>
      </c>
      <c r="L32" s="87"/>
      <c r="M32" s="86">
        <f t="shared" si="11"/>
        <v>605751.6</v>
      </c>
      <c r="N32" s="86">
        <f t="shared" si="12"/>
        <v>30287.579999999998</v>
      </c>
      <c r="O32" s="274">
        <f t="shared" si="13"/>
        <v>23713.878947368423</v>
      </c>
      <c r="P32" s="274">
        <f t="shared" si="14"/>
        <v>155187.89999999997</v>
      </c>
      <c r="Q32" s="82"/>
      <c r="R32" s="238">
        <f t="shared" si="8"/>
        <v>38062.781878930044</v>
      </c>
      <c r="S32" s="82"/>
      <c r="T32" s="274">
        <f t="shared" si="9"/>
        <v>155187.9</v>
      </c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</row>
    <row r="33" spans="1:102" s="92" customFormat="1" ht="30" hidden="1" customHeight="1">
      <c r="A33" s="28"/>
      <c r="B33" s="90">
        <v>309</v>
      </c>
      <c r="C33" s="90" t="s">
        <v>143</v>
      </c>
      <c r="D33" s="90">
        <v>42</v>
      </c>
      <c r="E33" s="91">
        <f>'[2]Price per sqm-FF'!D8</f>
        <v>67000</v>
      </c>
      <c r="F33" s="47">
        <f t="shared" si="0"/>
        <v>70350</v>
      </c>
      <c r="G33" s="47">
        <f t="shared" si="1"/>
        <v>71757</v>
      </c>
      <c r="H33" s="47"/>
      <c r="I33" s="86">
        <f t="shared" si="10"/>
        <v>3013794</v>
      </c>
      <c r="J33" s="82"/>
      <c r="K33" s="47">
        <v>15000</v>
      </c>
      <c r="L33" s="87"/>
      <c r="M33" s="86">
        <f t="shared" si="11"/>
        <v>587758.80000000005</v>
      </c>
      <c r="N33" s="86">
        <f t="shared" si="12"/>
        <v>29387.940000000002</v>
      </c>
      <c r="O33" s="274">
        <f t="shared" si="13"/>
        <v>23003.636842105261</v>
      </c>
      <c r="P33" s="274">
        <f t="shared" si="14"/>
        <v>150689.70000000007</v>
      </c>
      <c r="Q33" s="82"/>
      <c r="R33" s="238">
        <f t="shared" si="8"/>
        <v>36959.512838961062</v>
      </c>
      <c r="S33" s="82"/>
      <c r="T33" s="274">
        <f t="shared" si="9"/>
        <v>150689.70000000001</v>
      </c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</row>
    <row r="34" spans="1:102" s="92" customFormat="1" hidden="1">
      <c r="A34" s="28"/>
      <c r="B34" s="90">
        <v>310</v>
      </c>
      <c r="C34" s="90" t="s">
        <v>143</v>
      </c>
      <c r="D34" s="90">
        <v>42</v>
      </c>
      <c r="E34" s="91">
        <f>'[2]Price per sqm-FF'!D8</f>
        <v>67000</v>
      </c>
      <c r="F34" s="47">
        <f t="shared" si="0"/>
        <v>70350</v>
      </c>
      <c r="G34" s="47">
        <f t="shared" si="1"/>
        <v>71757</v>
      </c>
      <c r="H34" s="47"/>
      <c r="I34" s="86">
        <f t="shared" si="10"/>
        <v>3013794</v>
      </c>
      <c r="J34" s="82"/>
      <c r="K34" s="47">
        <v>15000</v>
      </c>
      <c r="L34" s="87"/>
      <c r="M34" s="86">
        <f t="shared" si="11"/>
        <v>587758.80000000005</v>
      </c>
      <c r="N34" s="86">
        <f t="shared" si="12"/>
        <v>29387.940000000002</v>
      </c>
      <c r="O34" s="274">
        <f t="shared" si="13"/>
        <v>23003.636842105261</v>
      </c>
      <c r="P34" s="274">
        <f t="shared" si="14"/>
        <v>150689.70000000007</v>
      </c>
      <c r="Q34" s="82"/>
      <c r="R34" s="238">
        <f t="shared" si="8"/>
        <v>36959.512838961062</v>
      </c>
      <c r="S34" s="82"/>
      <c r="T34" s="274">
        <f t="shared" si="9"/>
        <v>150689.70000000001</v>
      </c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</row>
    <row r="35" spans="1:102" hidden="1">
      <c r="B35" s="65">
        <v>311</v>
      </c>
      <c r="C35" s="65" t="s">
        <v>139</v>
      </c>
      <c r="D35" s="65">
        <v>42</v>
      </c>
      <c r="E35" s="47">
        <f>'[2]Price per sqm-FF'!F8</f>
        <v>64000</v>
      </c>
      <c r="F35" s="47">
        <f t="shared" si="0"/>
        <v>67200</v>
      </c>
      <c r="G35" s="47">
        <f t="shared" si="1"/>
        <v>68544</v>
      </c>
      <c r="H35" s="47"/>
      <c r="I35" s="86">
        <f t="shared" si="10"/>
        <v>2878848</v>
      </c>
      <c r="K35" s="47">
        <v>15000</v>
      </c>
      <c r="M35" s="86">
        <f t="shared" si="11"/>
        <v>560769.6</v>
      </c>
      <c r="N35" s="86">
        <f t="shared" si="12"/>
        <v>28038.48</v>
      </c>
      <c r="O35" s="274">
        <f t="shared" si="13"/>
        <v>21938.273684210526</v>
      </c>
      <c r="P35" s="274">
        <f t="shared" si="14"/>
        <v>143942.39999999997</v>
      </c>
      <c r="R35" s="238">
        <f t="shared" si="8"/>
        <v>35304.609279007585</v>
      </c>
      <c r="T35" s="274">
        <f t="shared" si="9"/>
        <v>143942.39999999999</v>
      </c>
    </row>
    <row r="36" spans="1:102" s="92" customFormat="1" hidden="1">
      <c r="A36" s="28"/>
      <c r="B36" s="90">
        <v>312</v>
      </c>
      <c r="C36" s="90" t="s">
        <v>143</v>
      </c>
      <c r="D36" s="90">
        <v>42</v>
      </c>
      <c r="E36" s="91">
        <f>E33</f>
        <v>67000</v>
      </c>
      <c r="F36" s="47">
        <f t="shared" si="0"/>
        <v>70350</v>
      </c>
      <c r="G36" s="47">
        <f t="shared" si="1"/>
        <v>71757</v>
      </c>
      <c r="H36" s="47"/>
      <c r="I36" s="86">
        <f t="shared" si="10"/>
        <v>3013794</v>
      </c>
      <c r="J36" s="82"/>
      <c r="K36" s="47">
        <v>15000</v>
      </c>
      <c r="L36" s="87"/>
      <c r="M36" s="86">
        <f t="shared" si="11"/>
        <v>587758.80000000005</v>
      </c>
      <c r="N36" s="86">
        <f t="shared" si="12"/>
        <v>29387.940000000002</v>
      </c>
      <c r="O36" s="274">
        <f t="shared" si="13"/>
        <v>23003.636842105261</v>
      </c>
      <c r="P36" s="274">
        <f t="shared" si="14"/>
        <v>150689.70000000007</v>
      </c>
      <c r="Q36" s="82"/>
      <c r="R36" s="238">
        <f t="shared" si="8"/>
        <v>36959.512838961062</v>
      </c>
      <c r="S36" s="82"/>
      <c r="T36" s="274">
        <f t="shared" si="9"/>
        <v>150689.70000000001</v>
      </c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</row>
    <row r="37" spans="1:102" s="92" customFormat="1" hidden="1">
      <c r="A37" s="28"/>
      <c r="B37" s="90">
        <v>313</v>
      </c>
      <c r="C37" s="90" t="s">
        <v>142</v>
      </c>
      <c r="D37" s="90">
        <v>42</v>
      </c>
      <c r="E37" s="91">
        <f>'[2]Price per sqm-FF'!B8</f>
        <v>70000</v>
      </c>
      <c r="F37" s="47">
        <f t="shared" si="0"/>
        <v>73500</v>
      </c>
      <c r="G37" s="47">
        <f t="shared" si="1"/>
        <v>74970</v>
      </c>
      <c r="H37" s="47"/>
      <c r="I37" s="86">
        <f t="shared" si="10"/>
        <v>3148740</v>
      </c>
      <c r="J37" s="82"/>
      <c r="K37" s="47">
        <v>15000</v>
      </c>
      <c r="L37" s="87"/>
      <c r="M37" s="86">
        <f t="shared" si="11"/>
        <v>614748</v>
      </c>
      <c r="N37" s="86">
        <f t="shared" si="12"/>
        <v>30737.4</v>
      </c>
      <c r="O37" s="274">
        <f t="shared" si="13"/>
        <v>24069</v>
      </c>
      <c r="P37" s="274">
        <f t="shared" si="14"/>
        <v>157437</v>
      </c>
      <c r="Q37" s="82"/>
      <c r="R37" s="238">
        <f t="shared" si="8"/>
        <v>38614.416398914545</v>
      </c>
      <c r="S37" s="82"/>
      <c r="T37" s="274">
        <f t="shared" si="9"/>
        <v>157437</v>
      </c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</row>
    <row r="38" spans="1:102" s="92" customFormat="1" ht="30" hidden="1" customHeight="1">
      <c r="A38" s="28"/>
      <c r="B38" s="90">
        <v>409</v>
      </c>
      <c r="C38" s="90" t="s">
        <v>143</v>
      </c>
      <c r="D38" s="90">
        <v>42</v>
      </c>
      <c r="E38" s="91">
        <f>'[2]Price per sqm-FF'!D9</f>
        <v>68000</v>
      </c>
      <c r="F38" s="47">
        <f t="shared" si="0"/>
        <v>71400</v>
      </c>
      <c r="G38" s="47">
        <f t="shared" si="1"/>
        <v>72828</v>
      </c>
      <c r="H38" s="47"/>
      <c r="I38" s="86">
        <f t="shared" si="10"/>
        <v>3058776</v>
      </c>
      <c r="J38" s="82"/>
      <c r="K38" s="47">
        <v>15000</v>
      </c>
      <c r="L38" s="87"/>
      <c r="M38" s="86">
        <f t="shared" si="11"/>
        <v>596755.20000000007</v>
      </c>
      <c r="N38" s="86">
        <f t="shared" si="12"/>
        <v>29837.760000000002</v>
      </c>
      <c r="O38" s="274">
        <f t="shared" si="13"/>
        <v>23358.757894736842</v>
      </c>
      <c r="P38" s="274">
        <f t="shared" si="14"/>
        <v>152938.80000000005</v>
      </c>
      <c r="Q38" s="82"/>
      <c r="R38" s="238">
        <f t="shared" si="8"/>
        <v>37511.147358945556</v>
      </c>
      <c r="S38" s="82"/>
      <c r="T38" s="274">
        <f t="shared" si="9"/>
        <v>152938.80000000002</v>
      </c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</row>
    <row r="39" spans="1:102" hidden="1">
      <c r="B39" s="65">
        <v>410</v>
      </c>
      <c r="C39" s="65" t="s">
        <v>143</v>
      </c>
      <c r="D39" s="65">
        <v>42</v>
      </c>
      <c r="E39" s="47">
        <f>E38</f>
        <v>68000</v>
      </c>
      <c r="F39" s="47">
        <f t="shared" si="0"/>
        <v>71400</v>
      </c>
      <c r="G39" s="47">
        <f t="shared" si="1"/>
        <v>72828</v>
      </c>
      <c r="H39" s="47"/>
      <c r="I39" s="86">
        <f t="shared" si="10"/>
        <v>3058776</v>
      </c>
      <c r="K39" s="47">
        <v>15000</v>
      </c>
      <c r="M39" s="86">
        <f t="shared" si="11"/>
        <v>596755.20000000007</v>
      </c>
      <c r="N39" s="86">
        <f t="shared" si="12"/>
        <v>29837.760000000002</v>
      </c>
      <c r="O39" s="274">
        <f t="shared" si="13"/>
        <v>23358.757894736842</v>
      </c>
      <c r="P39" s="274">
        <f t="shared" si="14"/>
        <v>152938.80000000005</v>
      </c>
      <c r="R39" s="238">
        <f t="shared" si="8"/>
        <v>37511.147358945556</v>
      </c>
      <c r="T39" s="274">
        <f t="shared" si="9"/>
        <v>152938.80000000002</v>
      </c>
    </row>
    <row r="40" spans="1:102" s="92" customFormat="1" hidden="1">
      <c r="A40" s="28"/>
      <c r="B40" s="90">
        <v>411</v>
      </c>
      <c r="C40" s="90" t="s">
        <v>139</v>
      </c>
      <c r="D40" s="90">
        <v>42</v>
      </c>
      <c r="E40" s="91">
        <f>'[2]Price per sqm-FF'!F9</f>
        <v>65000</v>
      </c>
      <c r="F40" s="47">
        <f t="shared" si="0"/>
        <v>68250</v>
      </c>
      <c r="G40" s="47">
        <f t="shared" si="1"/>
        <v>69615</v>
      </c>
      <c r="H40" s="47"/>
      <c r="I40" s="86">
        <f t="shared" si="10"/>
        <v>2923830</v>
      </c>
      <c r="J40" s="82"/>
      <c r="K40" s="47">
        <v>15000</v>
      </c>
      <c r="L40" s="87"/>
      <c r="M40" s="86">
        <f t="shared" si="11"/>
        <v>569766</v>
      </c>
      <c r="N40" s="86">
        <f t="shared" si="12"/>
        <v>28488.3</v>
      </c>
      <c r="O40" s="274">
        <f t="shared" si="13"/>
        <v>22293.394736842107</v>
      </c>
      <c r="P40" s="274">
        <f t="shared" si="14"/>
        <v>146191.5</v>
      </c>
      <c r="Q40" s="82"/>
      <c r="R40" s="238">
        <f t="shared" si="8"/>
        <v>35856.243798992073</v>
      </c>
      <c r="S40" s="82"/>
      <c r="T40" s="274">
        <f t="shared" si="9"/>
        <v>146191.5</v>
      </c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</row>
    <row r="41" spans="1:102" s="92" customFormat="1" hidden="1">
      <c r="A41" s="28"/>
      <c r="B41" s="90">
        <v>412</v>
      </c>
      <c r="C41" s="90" t="s">
        <v>143</v>
      </c>
      <c r="D41" s="90">
        <v>42</v>
      </c>
      <c r="E41" s="91">
        <f>E38</f>
        <v>68000</v>
      </c>
      <c r="F41" s="47">
        <f t="shared" si="0"/>
        <v>71400</v>
      </c>
      <c r="G41" s="47">
        <f t="shared" si="1"/>
        <v>72828</v>
      </c>
      <c r="H41" s="47"/>
      <c r="I41" s="86">
        <f t="shared" si="10"/>
        <v>3058776</v>
      </c>
      <c r="J41" s="82"/>
      <c r="K41" s="47">
        <v>15000</v>
      </c>
      <c r="L41" s="87"/>
      <c r="M41" s="86">
        <f t="shared" si="11"/>
        <v>596755.20000000007</v>
      </c>
      <c r="N41" s="86">
        <f t="shared" si="12"/>
        <v>29837.760000000002</v>
      </c>
      <c r="O41" s="274">
        <f t="shared" si="13"/>
        <v>23358.757894736842</v>
      </c>
      <c r="P41" s="274">
        <f t="shared" si="14"/>
        <v>152938.80000000005</v>
      </c>
      <c r="Q41" s="82"/>
      <c r="R41" s="238">
        <f t="shared" si="8"/>
        <v>37511.147358945556</v>
      </c>
      <c r="S41" s="82"/>
      <c r="T41" s="274">
        <f t="shared" si="9"/>
        <v>152938.80000000002</v>
      </c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</row>
    <row r="42" spans="1:102" s="92" customFormat="1" hidden="1">
      <c r="A42" s="28"/>
      <c r="B42" s="90">
        <v>413</v>
      </c>
      <c r="C42" s="90" t="s">
        <v>142</v>
      </c>
      <c r="D42" s="90">
        <v>42</v>
      </c>
      <c r="E42" s="91">
        <f>'[2]Price per sqm-FF'!B9</f>
        <v>71000</v>
      </c>
      <c r="F42" s="47">
        <f t="shared" si="0"/>
        <v>74550</v>
      </c>
      <c r="G42" s="47">
        <f t="shared" si="1"/>
        <v>76041</v>
      </c>
      <c r="H42" s="47"/>
      <c r="I42" s="86">
        <f t="shared" si="10"/>
        <v>3193722</v>
      </c>
      <c r="J42" s="82"/>
      <c r="K42" s="47">
        <v>15000</v>
      </c>
      <c r="L42" s="87"/>
      <c r="M42" s="86">
        <f t="shared" si="11"/>
        <v>623744.4</v>
      </c>
      <c r="N42" s="86">
        <f t="shared" si="12"/>
        <v>31187.22</v>
      </c>
      <c r="O42" s="274">
        <f t="shared" si="13"/>
        <v>24424.121052631577</v>
      </c>
      <c r="P42" s="274">
        <f t="shared" si="14"/>
        <v>159686.10000000003</v>
      </c>
      <c r="Q42" s="82"/>
      <c r="R42" s="238">
        <f t="shared" si="8"/>
        <v>39166.050918899033</v>
      </c>
      <c r="S42" s="82"/>
      <c r="T42" s="274">
        <f t="shared" si="9"/>
        <v>159686.1</v>
      </c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</row>
    <row r="43" spans="1:102" ht="30" hidden="1" customHeight="1">
      <c r="B43" s="65">
        <v>509</v>
      </c>
      <c r="C43" s="65" t="s">
        <v>143</v>
      </c>
      <c r="D43" s="65">
        <v>42</v>
      </c>
      <c r="E43" s="47">
        <f>'[2]Price per sqm-FF'!D10</f>
        <v>69000</v>
      </c>
      <c r="F43" s="47">
        <f t="shared" si="0"/>
        <v>72450</v>
      </c>
      <c r="G43" s="47">
        <f t="shared" si="1"/>
        <v>73899</v>
      </c>
      <c r="H43" s="47"/>
      <c r="I43" s="86">
        <f t="shared" si="10"/>
        <v>3103758</v>
      </c>
      <c r="K43" s="47">
        <v>15000</v>
      </c>
      <c r="M43" s="86">
        <f t="shared" si="11"/>
        <v>605751.6</v>
      </c>
      <c r="N43" s="86">
        <f t="shared" si="12"/>
        <v>30287.579999999998</v>
      </c>
      <c r="O43" s="274">
        <f t="shared" si="13"/>
        <v>23713.878947368423</v>
      </c>
      <c r="P43" s="274">
        <f t="shared" si="14"/>
        <v>155187.89999999997</v>
      </c>
      <c r="R43" s="238">
        <f t="shared" si="8"/>
        <v>38062.781878930044</v>
      </c>
      <c r="T43" s="274">
        <f t="shared" si="9"/>
        <v>155187.9</v>
      </c>
    </row>
    <row r="44" spans="1:102" s="92" customFormat="1" hidden="1">
      <c r="A44" s="28"/>
      <c r="B44" s="90">
        <v>510</v>
      </c>
      <c r="C44" s="90" t="s">
        <v>143</v>
      </c>
      <c r="D44" s="90">
        <v>42</v>
      </c>
      <c r="E44" s="91">
        <f>E43</f>
        <v>69000</v>
      </c>
      <c r="F44" s="47">
        <f t="shared" si="0"/>
        <v>72450</v>
      </c>
      <c r="G44" s="47">
        <f t="shared" si="1"/>
        <v>73899</v>
      </c>
      <c r="H44" s="47"/>
      <c r="I44" s="86">
        <f t="shared" si="10"/>
        <v>3103758</v>
      </c>
      <c r="J44" s="82"/>
      <c r="K44" s="47">
        <v>15000</v>
      </c>
      <c r="L44" s="87"/>
      <c r="M44" s="86">
        <f t="shared" si="11"/>
        <v>605751.6</v>
      </c>
      <c r="N44" s="86">
        <f t="shared" si="12"/>
        <v>30287.579999999998</v>
      </c>
      <c r="O44" s="274">
        <f t="shared" si="13"/>
        <v>23713.878947368423</v>
      </c>
      <c r="P44" s="274">
        <f t="shared" si="14"/>
        <v>155187.89999999997</v>
      </c>
      <c r="Q44" s="82"/>
      <c r="R44" s="238">
        <f t="shared" si="8"/>
        <v>38062.781878930044</v>
      </c>
      <c r="S44" s="82"/>
      <c r="T44" s="274">
        <f t="shared" si="9"/>
        <v>155187.9</v>
      </c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</row>
    <row r="45" spans="1:102" hidden="1">
      <c r="B45" s="65">
        <v>511</v>
      </c>
      <c r="C45" s="65" t="s">
        <v>139</v>
      </c>
      <c r="D45" s="65">
        <v>42</v>
      </c>
      <c r="E45" s="47">
        <f>'[2]Price per sqm-FF'!F10</f>
        <v>66000</v>
      </c>
      <c r="F45" s="47">
        <f t="shared" si="0"/>
        <v>69300</v>
      </c>
      <c r="G45" s="47">
        <f t="shared" si="1"/>
        <v>70686</v>
      </c>
      <c r="H45" s="47"/>
      <c r="I45" s="86">
        <f t="shared" si="10"/>
        <v>2968812</v>
      </c>
      <c r="K45" s="47">
        <v>15000</v>
      </c>
      <c r="M45" s="86">
        <f t="shared" si="11"/>
        <v>578762.4</v>
      </c>
      <c r="N45" s="86">
        <f t="shared" si="12"/>
        <v>28938.120000000003</v>
      </c>
      <c r="O45" s="274">
        <f t="shared" si="13"/>
        <v>22648.515789473684</v>
      </c>
      <c r="P45" s="274">
        <f t="shared" si="14"/>
        <v>148440.60000000003</v>
      </c>
      <c r="R45" s="238">
        <f t="shared" si="8"/>
        <v>36407.878318976567</v>
      </c>
      <c r="T45" s="274">
        <f t="shared" si="9"/>
        <v>148440.6</v>
      </c>
    </row>
    <row r="46" spans="1:102" s="92" customFormat="1" hidden="1">
      <c r="A46" s="28"/>
      <c r="B46" s="90">
        <v>512</v>
      </c>
      <c r="C46" s="91" t="s">
        <v>143</v>
      </c>
      <c r="D46" s="90">
        <v>42</v>
      </c>
      <c r="E46" s="91">
        <f>E43</f>
        <v>69000</v>
      </c>
      <c r="F46" s="47">
        <f t="shared" si="0"/>
        <v>72450</v>
      </c>
      <c r="G46" s="47">
        <f t="shared" si="1"/>
        <v>73899</v>
      </c>
      <c r="H46" s="47"/>
      <c r="I46" s="86">
        <f t="shared" si="10"/>
        <v>3103758</v>
      </c>
      <c r="J46" s="82"/>
      <c r="K46" s="47">
        <v>15000</v>
      </c>
      <c r="L46" s="87"/>
      <c r="M46" s="86">
        <f t="shared" si="11"/>
        <v>605751.6</v>
      </c>
      <c r="N46" s="86">
        <f t="shared" si="12"/>
        <v>30287.579999999998</v>
      </c>
      <c r="O46" s="274">
        <f t="shared" si="13"/>
        <v>23713.878947368423</v>
      </c>
      <c r="P46" s="274">
        <f t="shared" si="14"/>
        <v>155187.89999999997</v>
      </c>
      <c r="Q46" s="82"/>
      <c r="R46" s="238">
        <f t="shared" si="8"/>
        <v>38062.781878930044</v>
      </c>
      <c r="S46" s="82"/>
      <c r="T46" s="274">
        <f t="shared" si="9"/>
        <v>155187.9</v>
      </c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</row>
    <row r="47" spans="1:102" s="92" customFormat="1" hidden="1">
      <c r="A47" s="28"/>
      <c r="B47" s="90">
        <v>513</v>
      </c>
      <c r="C47" s="91" t="s">
        <v>142</v>
      </c>
      <c r="D47" s="90">
        <v>42</v>
      </c>
      <c r="E47" s="91">
        <f>'[2]Price per sqm-FF'!B10</f>
        <v>72000</v>
      </c>
      <c r="F47" s="47">
        <f t="shared" si="0"/>
        <v>75600</v>
      </c>
      <c r="G47" s="47">
        <f t="shared" si="1"/>
        <v>77112</v>
      </c>
      <c r="H47" s="47"/>
      <c r="I47" s="86">
        <f t="shared" si="10"/>
        <v>3238704</v>
      </c>
      <c r="J47" s="82"/>
      <c r="K47" s="47">
        <v>15000</v>
      </c>
      <c r="L47" s="87"/>
      <c r="M47" s="86">
        <f t="shared" si="11"/>
        <v>632740.80000000005</v>
      </c>
      <c r="N47" s="86">
        <f t="shared" si="12"/>
        <v>31637.040000000001</v>
      </c>
      <c r="O47" s="274">
        <f t="shared" si="13"/>
        <v>24779.242105263158</v>
      </c>
      <c r="P47" s="274">
        <f t="shared" si="14"/>
        <v>161935.20000000007</v>
      </c>
      <c r="Q47" s="82"/>
      <c r="R47" s="238">
        <f t="shared" si="8"/>
        <v>39717.685438883527</v>
      </c>
      <c r="S47" s="82"/>
      <c r="T47" s="274">
        <f t="shared" si="9"/>
        <v>161935.20000000001</v>
      </c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1"/>
      <c r="CV47" s="81"/>
      <c r="CW47" s="81"/>
      <c r="CX47" s="81"/>
    </row>
    <row r="48" spans="1:102" s="92" customFormat="1" ht="30" hidden="1" customHeight="1">
      <c r="A48" s="28"/>
      <c r="B48" s="90">
        <v>609</v>
      </c>
      <c r="C48" s="90" t="s">
        <v>143</v>
      </c>
      <c r="D48" s="90">
        <v>42</v>
      </c>
      <c r="E48" s="91">
        <f>'[2]Price per sqm-FF'!D11</f>
        <v>70000</v>
      </c>
      <c r="F48" s="47">
        <f t="shared" si="0"/>
        <v>73500</v>
      </c>
      <c r="G48" s="47">
        <f t="shared" si="1"/>
        <v>74970</v>
      </c>
      <c r="H48" s="47"/>
      <c r="I48" s="86">
        <f t="shared" si="10"/>
        <v>3148740</v>
      </c>
      <c r="J48" s="82"/>
      <c r="K48" s="47">
        <v>15000</v>
      </c>
      <c r="L48" s="87"/>
      <c r="M48" s="86">
        <f t="shared" si="11"/>
        <v>614748</v>
      </c>
      <c r="N48" s="86">
        <f t="shared" si="12"/>
        <v>30737.4</v>
      </c>
      <c r="O48" s="274">
        <f t="shared" si="13"/>
        <v>24069</v>
      </c>
      <c r="P48" s="274">
        <f t="shared" si="14"/>
        <v>157437</v>
      </c>
      <c r="Q48" s="82"/>
      <c r="R48" s="238">
        <f t="shared" si="8"/>
        <v>38614.416398914545</v>
      </c>
      <c r="S48" s="82"/>
      <c r="T48" s="274">
        <f t="shared" si="9"/>
        <v>157437</v>
      </c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</row>
    <row r="49" spans="1:102" s="92" customFormat="1" hidden="1">
      <c r="A49" s="28"/>
      <c r="B49" s="90">
        <v>610</v>
      </c>
      <c r="C49" s="90" t="s">
        <v>143</v>
      </c>
      <c r="D49" s="90">
        <v>42</v>
      </c>
      <c r="E49" s="91">
        <f>E48</f>
        <v>70000</v>
      </c>
      <c r="F49" s="47">
        <f t="shared" si="0"/>
        <v>73500</v>
      </c>
      <c r="G49" s="47">
        <f t="shared" si="1"/>
        <v>74970</v>
      </c>
      <c r="H49" s="47"/>
      <c r="I49" s="86">
        <f t="shared" si="10"/>
        <v>3148740</v>
      </c>
      <c r="J49" s="82"/>
      <c r="K49" s="47">
        <v>15000</v>
      </c>
      <c r="L49" s="87"/>
      <c r="M49" s="86">
        <f t="shared" si="11"/>
        <v>614748</v>
      </c>
      <c r="N49" s="86">
        <f t="shared" si="12"/>
        <v>30737.4</v>
      </c>
      <c r="O49" s="274">
        <f t="shared" si="13"/>
        <v>24069</v>
      </c>
      <c r="P49" s="274">
        <f t="shared" si="14"/>
        <v>157437</v>
      </c>
      <c r="Q49" s="82"/>
      <c r="R49" s="238">
        <f t="shared" si="8"/>
        <v>38614.416398914545</v>
      </c>
      <c r="S49" s="82"/>
      <c r="T49" s="274">
        <f t="shared" si="9"/>
        <v>157437</v>
      </c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81"/>
      <c r="CT49" s="81"/>
      <c r="CU49" s="81"/>
      <c r="CV49" s="81"/>
      <c r="CW49" s="81"/>
      <c r="CX49" s="81"/>
    </row>
    <row r="50" spans="1:102" hidden="1">
      <c r="B50" s="65">
        <v>611</v>
      </c>
      <c r="C50" s="65" t="s">
        <v>139</v>
      </c>
      <c r="D50" s="65">
        <v>42</v>
      </c>
      <c r="E50" s="47">
        <f>'[2]Price per sqm-FF'!F11</f>
        <v>67000</v>
      </c>
      <c r="F50" s="47">
        <f t="shared" si="0"/>
        <v>70350</v>
      </c>
      <c r="G50" s="47">
        <f t="shared" si="1"/>
        <v>71757</v>
      </c>
      <c r="H50" s="47"/>
      <c r="I50" s="86">
        <f t="shared" si="10"/>
        <v>3013794</v>
      </c>
      <c r="K50" s="47">
        <v>15000</v>
      </c>
      <c r="M50" s="86">
        <f t="shared" si="11"/>
        <v>587758.80000000005</v>
      </c>
      <c r="N50" s="86">
        <f t="shared" si="12"/>
        <v>29387.940000000002</v>
      </c>
      <c r="O50" s="274">
        <f t="shared" si="13"/>
        <v>23003.636842105261</v>
      </c>
      <c r="P50" s="274">
        <f t="shared" si="14"/>
        <v>150689.70000000007</v>
      </c>
      <c r="R50" s="238">
        <f t="shared" si="8"/>
        <v>36959.512838961062</v>
      </c>
      <c r="T50" s="274">
        <f t="shared" si="9"/>
        <v>150689.70000000001</v>
      </c>
    </row>
    <row r="51" spans="1:102" s="92" customFormat="1" hidden="1">
      <c r="A51" s="28"/>
      <c r="B51" s="90">
        <v>612</v>
      </c>
      <c r="C51" s="90" t="s">
        <v>143</v>
      </c>
      <c r="D51" s="90">
        <v>42</v>
      </c>
      <c r="E51" s="91">
        <f>E48</f>
        <v>70000</v>
      </c>
      <c r="F51" s="47">
        <f t="shared" si="0"/>
        <v>73500</v>
      </c>
      <c r="G51" s="47">
        <f t="shared" si="1"/>
        <v>74970</v>
      </c>
      <c r="H51" s="47"/>
      <c r="I51" s="86">
        <f t="shared" si="10"/>
        <v>3148740</v>
      </c>
      <c r="J51" s="82"/>
      <c r="K51" s="47">
        <v>15000</v>
      </c>
      <c r="L51" s="87"/>
      <c r="M51" s="86">
        <f t="shared" si="11"/>
        <v>614748</v>
      </c>
      <c r="N51" s="86">
        <f t="shared" si="12"/>
        <v>30737.4</v>
      </c>
      <c r="O51" s="274">
        <f t="shared" si="13"/>
        <v>24069</v>
      </c>
      <c r="P51" s="274">
        <f t="shared" si="14"/>
        <v>157437</v>
      </c>
      <c r="Q51" s="82"/>
      <c r="R51" s="238">
        <f t="shared" si="8"/>
        <v>38614.416398914545</v>
      </c>
      <c r="S51" s="82"/>
      <c r="T51" s="274">
        <f t="shared" si="9"/>
        <v>157437</v>
      </c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</row>
    <row r="52" spans="1:102" s="92" customFormat="1" hidden="1">
      <c r="A52" s="28"/>
      <c r="B52" s="90">
        <v>613</v>
      </c>
      <c r="C52" s="90" t="s">
        <v>142</v>
      </c>
      <c r="D52" s="90">
        <v>42</v>
      </c>
      <c r="E52" s="91">
        <f>'[2]Price per sqm-FF'!B11</f>
        <v>73000</v>
      </c>
      <c r="F52" s="47">
        <f t="shared" si="0"/>
        <v>76650</v>
      </c>
      <c r="G52" s="47">
        <f t="shared" si="1"/>
        <v>78183</v>
      </c>
      <c r="H52" s="47"/>
      <c r="I52" s="86">
        <f t="shared" si="10"/>
        <v>3283686</v>
      </c>
      <c r="J52" s="82"/>
      <c r="K52" s="47">
        <v>15000</v>
      </c>
      <c r="L52" s="87"/>
      <c r="M52" s="86">
        <f t="shared" si="11"/>
        <v>641737.20000000007</v>
      </c>
      <c r="N52" s="86">
        <f t="shared" si="12"/>
        <v>32086.860000000004</v>
      </c>
      <c r="O52" s="274">
        <f t="shared" si="13"/>
        <v>25134.363157894735</v>
      </c>
      <c r="P52" s="274">
        <f t="shared" si="14"/>
        <v>164184.3000000001</v>
      </c>
      <c r="Q52" s="82"/>
      <c r="R52" s="239">
        <f t="shared" si="8"/>
        <v>40269.319958868022</v>
      </c>
      <c r="S52" s="82"/>
      <c r="T52" s="274">
        <f t="shared" si="9"/>
        <v>164184.30000000002</v>
      </c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81"/>
      <c r="CT52" s="81"/>
      <c r="CU52" s="81"/>
      <c r="CV52" s="81"/>
      <c r="CW52" s="81"/>
      <c r="CX52" s="81"/>
    </row>
    <row r="54" spans="1:102" hidden="1">
      <c r="I54" s="93">
        <f>SUM(I13:I53)</f>
        <v>119069828.00999999</v>
      </c>
    </row>
    <row r="55" spans="1:102" hidden="1"/>
    <row r="56" spans="1:102" hidden="1">
      <c r="B56" s="66"/>
      <c r="E56" s="34"/>
      <c r="F56" s="34"/>
      <c r="G56" s="34"/>
      <c r="H56" s="34"/>
      <c r="I56" s="94" t="s">
        <v>147</v>
      </c>
    </row>
    <row r="57" spans="1:102" hidden="1">
      <c r="B57" s="70"/>
      <c r="E57" s="34"/>
      <c r="F57" s="34"/>
      <c r="G57" s="34"/>
      <c r="H57" s="34"/>
      <c r="I57" s="94" t="s">
        <v>148</v>
      </c>
    </row>
    <row r="58" spans="1:102" hidden="1">
      <c r="B58" s="65"/>
      <c r="E58" s="34"/>
      <c r="F58" s="34"/>
      <c r="G58" s="34"/>
      <c r="H58" s="34"/>
      <c r="I58" s="94" t="s">
        <v>149</v>
      </c>
    </row>
    <row r="59" spans="1:102" hidden="1">
      <c r="B59" s="71"/>
      <c r="E59" s="34"/>
      <c r="F59" s="34"/>
      <c r="G59" s="34"/>
      <c r="H59" s="34"/>
      <c r="I59" s="94" t="s">
        <v>150</v>
      </c>
    </row>
    <row r="60" spans="1:102" hidden="1">
      <c r="B60" s="72"/>
      <c r="E60" s="34"/>
      <c r="F60" s="34"/>
      <c r="G60" s="34"/>
      <c r="H60" s="34"/>
      <c r="I60" s="94" t="s">
        <v>151</v>
      </c>
    </row>
    <row r="61" spans="1:102" hidden="1"/>
    <row r="62" spans="1:102" s="77" customFormat="1" hidden="1">
      <c r="A62" s="16"/>
      <c r="B62" s="16"/>
      <c r="C62" s="74"/>
      <c r="D62" s="75"/>
      <c r="E62" s="76"/>
      <c r="F62" s="76"/>
      <c r="G62" s="76"/>
      <c r="H62" s="76"/>
      <c r="I62" s="76"/>
      <c r="J62" s="76"/>
      <c r="K62" s="95"/>
      <c r="L62" s="75"/>
      <c r="M62" s="75"/>
      <c r="N62" s="76"/>
      <c r="O62" s="76"/>
      <c r="P62" s="76"/>
      <c r="Q62" s="76"/>
      <c r="R62" s="76"/>
      <c r="S62" s="76"/>
      <c r="T62" s="7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  <c r="BM62" s="96"/>
      <c r="BN62" s="96"/>
      <c r="BO62" s="96"/>
      <c r="BP62" s="96"/>
      <c r="BQ62" s="96"/>
      <c r="BR62" s="96"/>
      <c r="BS62" s="96"/>
      <c r="BT62" s="96"/>
      <c r="BU62" s="96"/>
      <c r="BV62" s="96"/>
      <c r="BW62" s="96"/>
      <c r="BX62" s="96"/>
      <c r="BY62" s="96"/>
      <c r="BZ62" s="96"/>
      <c r="CA62" s="96"/>
      <c r="CB62" s="96"/>
      <c r="CC62" s="96"/>
      <c r="CD62" s="96"/>
      <c r="CE62" s="96"/>
      <c r="CF62" s="96"/>
      <c r="CG62" s="96"/>
      <c r="CH62" s="96"/>
      <c r="CI62" s="96"/>
      <c r="CJ62" s="96"/>
      <c r="CK62" s="96"/>
      <c r="CL62" s="96"/>
      <c r="CM62" s="96"/>
      <c r="CN62" s="96"/>
      <c r="CO62" s="96"/>
      <c r="CP62" s="96"/>
      <c r="CQ62" s="96"/>
      <c r="CR62" s="96"/>
      <c r="CS62" s="96"/>
      <c r="CT62" s="96"/>
      <c r="CU62" s="96"/>
      <c r="CV62" s="96"/>
      <c r="CW62" s="96"/>
      <c r="CX62" s="96"/>
    </row>
    <row r="63" spans="1:102" s="77" customFormat="1" hidden="1">
      <c r="A63" s="77">
        <v>1</v>
      </c>
      <c r="C63" s="17"/>
      <c r="D63" s="78"/>
      <c r="E63" s="76"/>
      <c r="F63" s="76"/>
      <c r="G63" s="76"/>
      <c r="H63" s="76"/>
      <c r="I63" s="76"/>
      <c r="J63" s="76"/>
      <c r="K63" s="95"/>
      <c r="L63" s="75"/>
      <c r="M63" s="75"/>
      <c r="N63" s="76"/>
      <c r="O63" s="76"/>
      <c r="P63" s="76"/>
      <c r="Q63" s="76"/>
      <c r="R63" s="76"/>
      <c r="S63" s="76"/>
      <c r="T63" s="7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96"/>
      <c r="BL63" s="96"/>
      <c r="BM63" s="96"/>
      <c r="BN63" s="96"/>
      <c r="BO63" s="96"/>
      <c r="BP63" s="96"/>
      <c r="BQ63" s="96"/>
      <c r="BR63" s="96"/>
      <c r="BS63" s="96"/>
      <c r="BT63" s="96"/>
      <c r="BU63" s="96"/>
      <c r="BV63" s="96"/>
      <c r="BW63" s="96"/>
      <c r="BX63" s="96"/>
      <c r="BY63" s="96"/>
      <c r="BZ63" s="96"/>
      <c r="CA63" s="96"/>
      <c r="CB63" s="96"/>
      <c r="CC63" s="96"/>
      <c r="CD63" s="96"/>
      <c r="CE63" s="96"/>
      <c r="CF63" s="96"/>
      <c r="CG63" s="96"/>
      <c r="CH63" s="96"/>
      <c r="CI63" s="96"/>
      <c r="CJ63" s="96"/>
      <c r="CK63" s="96"/>
      <c r="CL63" s="96"/>
      <c r="CM63" s="96"/>
      <c r="CN63" s="96"/>
      <c r="CO63" s="96"/>
      <c r="CP63" s="96"/>
      <c r="CQ63" s="96"/>
      <c r="CR63" s="96"/>
      <c r="CS63" s="96"/>
      <c r="CT63" s="96"/>
      <c r="CU63" s="96"/>
      <c r="CV63" s="96"/>
      <c r="CW63" s="96"/>
      <c r="CX63" s="96"/>
    </row>
    <row r="64" spans="1:102" s="77" customFormat="1" hidden="1">
      <c r="A64" s="77">
        <v>2</v>
      </c>
      <c r="C64" s="17"/>
      <c r="D64" s="78"/>
      <c r="E64" s="76"/>
      <c r="F64" s="76"/>
      <c r="G64" s="76"/>
      <c r="H64" s="76"/>
      <c r="I64" s="76"/>
      <c r="J64" s="76"/>
      <c r="K64" s="95"/>
      <c r="L64" s="75"/>
      <c r="M64" s="75"/>
      <c r="N64" s="76"/>
      <c r="O64" s="76"/>
      <c r="P64" s="76"/>
      <c r="Q64" s="76"/>
      <c r="R64" s="76"/>
      <c r="S64" s="76"/>
      <c r="T64" s="7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  <c r="BM64" s="96"/>
      <c r="BN64" s="96"/>
      <c r="BO64" s="96"/>
      <c r="BP64" s="96"/>
      <c r="BQ64" s="96"/>
      <c r="BR64" s="96"/>
      <c r="BS64" s="96"/>
      <c r="BT64" s="96"/>
      <c r="BU64" s="96"/>
      <c r="BV64" s="96"/>
      <c r="BW64" s="96"/>
      <c r="BX64" s="96"/>
      <c r="BY64" s="96"/>
      <c r="BZ64" s="96"/>
      <c r="CA64" s="96"/>
      <c r="CB64" s="96"/>
      <c r="CC64" s="96"/>
      <c r="CD64" s="96"/>
      <c r="CE64" s="96"/>
      <c r="CF64" s="96"/>
      <c r="CG64" s="96"/>
      <c r="CH64" s="96"/>
      <c r="CI64" s="96"/>
      <c r="CJ64" s="96"/>
      <c r="CK64" s="96"/>
      <c r="CL64" s="96"/>
      <c r="CM64" s="96"/>
      <c r="CN64" s="96"/>
      <c r="CO64" s="96"/>
      <c r="CP64" s="96"/>
      <c r="CQ64" s="96"/>
      <c r="CR64" s="96"/>
      <c r="CS64" s="96"/>
      <c r="CT64" s="96"/>
      <c r="CU64" s="96"/>
      <c r="CV64" s="96"/>
      <c r="CW64" s="96"/>
      <c r="CX64" s="96"/>
    </row>
    <row r="65" spans="1:102" s="77" customFormat="1" hidden="1">
      <c r="A65" s="77">
        <v>3</v>
      </c>
      <c r="C65" s="17"/>
      <c r="D65" s="78"/>
      <c r="E65" s="76"/>
      <c r="F65" s="76"/>
      <c r="G65" s="76"/>
      <c r="H65" s="76"/>
      <c r="I65" s="76"/>
      <c r="J65" s="76"/>
      <c r="K65" s="95"/>
      <c r="L65" s="75"/>
      <c r="M65" s="75"/>
      <c r="N65" s="76"/>
      <c r="O65" s="76"/>
      <c r="P65" s="76"/>
      <c r="Q65" s="76"/>
      <c r="R65" s="76"/>
      <c r="S65" s="76"/>
      <c r="T65" s="7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96"/>
      <c r="BP65" s="96"/>
      <c r="BQ65" s="96"/>
      <c r="BR65" s="96"/>
      <c r="BS65" s="96"/>
      <c r="BT65" s="96"/>
      <c r="BU65" s="96"/>
      <c r="BV65" s="96"/>
      <c r="BW65" s="96"/>
      <c r="BX65" s="96"/>
      <c r="BY65" s="96"/>
      <c r="BZ65" s="96"/>
      <c r="CA65" s="96"/>
      <c r="CB65" s="96"/>
      <c r="CC65" s="96"/>
      <c r="CD65" s="96"/>
      <c r="CE65" s="96"/>
      <c r="CF65" s="96"/>
      <c r="CG65" s="96"/>
      <c r="CH65" s="96"/>
      <c r="CI65" s="96"/>
      <c r="CJ65" s="96"/>
      <c r="CK65" s="96"/>
      <c r="CL65" s="96"/>
      <c r="CM65" s="96"/>
      <c r="CN65" s="96"/>
      <c r="CO65" s="96"/>
      <c r="CP65" s="96"/>
      <c r="CQ65" s="96"/>
      <c r="CR65" s="96"/>
      <c r="CS65" s="96"/>
      <c r="CT65" s="96"/>
      <c r="CU65" s="96"/>
      <c r="CV65" s="96"/>
      <c r="CW65" s="96"/>
      <c r="CX65" s="96"/>
    </row>
    <row r="66" spans="1:102" s="77" customFormat="1" hidden="1">
      <c r="A66" s="77">
        <v>4</v>
      </c>
      <c r="C66" s="17"/>
      <c r="D66" s="78"/>
      <c r="E66" s="76"/>
      <c r="F66" s="76"/>
      <c r="G66" s="76"/>
      <c r="H66" s="76"/>
      <c r="I66" s="76"/>
      <c r="J66" s="76"/>
      <c r="K66" s="95"/>
      <c r="L66" s="75"/>
      <c r="M66" s="75"/>
      <c r="N66" s="76"/>
      <c r="O66" s="76"/>
      <c r="P66" s="76"/>
      <c r="Q66" s="76"/>
      <c r="R66" s="76"/>
      <c r="S66" s="76"/>
      <c r="T66" s="7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6"/>
      <c r="BQ66" s="96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6"/>
      <c r="CR66" s="96"/>
      <c r="CS66" s="96"/>
      <c r="CT66" s="96"/>
      <c r="CU66" s="96"/>
      <c r="CV66" s="96"/>
      <c r="CW66" s="96"/>
      <c r="CX66" s="96"/>
    </row>
    <row r="67" spans="1:102" s="77" customFormat="1" hidden="1">
      <c r="C67" s="74"/>
      <c r="D67" s="75"/>
      <c r="E67" s="76"/>
      <c r="F67" s="76"/>
      <c r="G67" s="76"/>
      <c r="H67" s="76"/>
      <c r="I67" s="76"/>
      <c r="J67" s="76"/>
      <c r="K67" s="95"/>
      <c r="L67" s="75"/>
      <c r="M67" s="75"/>
      <c r="N67" s="76"/>
      <c r="O67" s="76"/>
      <c r="P67" s="76"/>
      <c r="Q67" s="76"/>
      <c r="R67" s="76"/>
      <c r="S67" s="76"/>
      <c r="T67" s="76"/>
      <c r="AN67" s="96"/>
      <c r="AO67" s="96"/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  <c r="BD67" s="96"/>
      <c r="BE67" s="96"/>
      <c r="BF67" s="96"/>
      <c r="BG67" s="96"/>
      <c r="BH67" s="96"/>
      <c r="BI67" s="96"/>
      <c r="BJ67" s="96"/>
      <c r="BK67" s="96"/>
      <c r="BL67" s="96"/>
      <c r="BM67" s="96"/>
      <c r="BN67" s="96"/>
      <c r="BO67" s="96"/>
      <c r="BP67" s="96"/>
      <c r="BQ67" s="96"/>
      <c r="BR67" s="96"/>
      <c r="BS67" s="96"/>
      <c r="BT67" s="96"/>
      <c r="BU67" s="96"/>
      <c r="BV67" s="96"/>
      <c r="BW67" s="96"/>
      <c r="BX67" s="96"/>
      <c r="BY67" s="96"/>
      <c r="BZ67" s="96"/>
      <c r="CA67" s="96"/>
      <c r="CB67" s="96"/>
      <c r="CC67" s="96"/>
      <c r="CD67" s="96"/>
      <c r="CE67" s="96"/>
      <c r="CF67" s="96"/>
      <c r="CG67" s="96"/>
      <c r="CH67" s="96"/>
      <c r="CI67" s="96"/>
      <c r="CJ67" s="96"/>
      <c r="CK67" s="96"/>
      <c r="CL67" s="96"/>
      <c r="CM67" s="96"/>
      <c r="CN67" s="96"/>
      <c r="CO67" s="96"/>
      <c r="CP67" s="96"/>
      <c r="CQ67" s="96"/>
      <c r="CR67" s="96"/>
      <c r="CS67" s="96"/>
      <c r="CT67" s="96"/>
      <c r="CU67" s="96"/>
      <c r="CV67" s="96"/>
      <c r="CW67" s="96"/>
      <c r="CX67" s="96"/>
    </row>
    <row r="68" spans="1:102" s="56" customFormat="1" ht="13.5">
      <c r="C68" s="57"/>
      <c r="D68" s="58"/>
      <c r="E68" s="59"/>
      <c r="F68" s="59"/>
      <c r="G68" s="59"/>
      <c r="H68" s="59"/>
      <c r="I68" s="59"/>
      <c r="J68" s="59"/>
      <c r="K68" s="98"/>
      <c r="L68" s="58"/>
      <c r="M68" s="58"/>
      <c r="N68" s="59"/>
      <c r="O68" s="59"/>
      <c r="P68" s="59"/>
      <c r="Q68" s="59"/>
      <c r="R68" s="59"/>
      <c r="S68" s="59"/>
      <c r="T68" s="59"/>
      <c r="AN68" s="285"/>
      <c r="AO68" s="285"/>
      <c r="AP68" s="285"/>
      <c r="AQ68" s="285"/>
      <c r="AR68" s="285"/>
      <c r="AS68" s="285"/>
      <c r="AT68" s="285"/>
      <c r="AU68" s="285"/>
      <c r="AV68" s="285"/>
      <c r="AW68" s="285"/>
      <c r="AX68" s="285"/>
      <c r="AY68" s="285"/>
      <c r="AZ68" s="285"/>
      <c r="BA68" s="285"/>
      <c r="BB68" s="285"/>
      <c r="BC68" s="285"/>
      <c r="BD68" s="285"/>
      <c r="BE68" s="285"/>
      <c r="BF68" s="285"/>
      <c r="BG68" s="285"/>
      <c r="BH68" s="285"/>
      <c r="BI68" s="285"/>
      <c r="BJ68" s="285"/>
      <c r="BK68" s="285"/>
      <c r="BL68" s="285"/>
      <c r="BM68" s="285"/>
      <c r="BN68" s="285"/>
      <c r="BO68" s="285"/>
      <c r="BP68" s="285"/>
      <c r="BQ68" s="285"/>
      <c r="BR68" s="285"/>
      <c r="BS68" s="285"/>
      <c r="BT68" s="285"/>
      <c r="BU68" s="285"/>
      <c r="BV68" s="285"/>
      <c r="BW68" s="285"/>
      <c r="BX68" s="285"/>
      <c r="BY68" s="285"/>
      <c r="BZ68" s="285"/>
      <c r="CA68" s="285"/>
      <c r="CB68" s="285"/>
      <c r="CC68" s="285"/>
      <c r="CD68" s="285"/>
      <c r="CE68" s="285"/>
      <c r="CF68" s="285"/>
      <c r="CG68" s="285"/>
      <c r="CH68" s="285"/>
      <c r="CI68" s="285"/>
      <c r="CJ68" s="285"/>
      <c r="CK68" s="285"/>
      <c r="CL68" s="285"/>
      <c r="CM68" s="285"/>
      <c r="CN68" s="285"/>
      <c r="CO68" s="285"/>
      <c r="CP68" s="285"/>
      <c r="CQ68" s="285"/>
      <c r="CR68" s="285"/>
      <c r="CS68" s="285"/>
      <c r="CT68" s="285"/>
      <c r="CU68" s="285"/>
      <c r="CV68" s="285"/>
      <c r="CW68" s="285"/>
      <c r="CX68" s="285"/>
    </row>
    <row r="69" spans="1:102" s="77" customFormat="1" hidden="1">
      <c r="A69" s="80" t="s">
        <v>154</v>
      </c>
      <c r="C69" s="74"/>
      <c r="D69" s="75"/>
      <c r="E69" s="76"/>
      <c r="F69" s="76"/>
      <c r="G69" s="76"/>
      <c r="H69" s="76"/>
      <c r="I69" s="76"/>
      <c r="J69" s="76"/>
      <c r="K69" s="95"/>
      <c r="L69" s="75"/>
      <c r="M69" s="75"/>
      <c r="N69" s="76"/>
      <c r="O69" s="76"/>
      <c r="P69" s="76"/>
      <c r="Q69" s="76"/>
      <c r="R69" s="76"/>
      <c r="S69" s="76"/>
      <c r="T69" s="7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  <c r="BM69" s="96"/>
      <c r="BN69" s="96"/>
      <c r="BO69" s="96"/>
      <c r="BP69" s="96"/>
      <c r="BQ69" s="96"/>
      <c r="BR69" s="96"/>
      <c r="BS69" s="96"/>
      <c r="BT69" s="96"/>
      <c r="BU69" s="96"/>
      <c r="BV69" s="96"/>
      <c r="BW69" s="96"/>
      <c r="BX69" s="96"/>
      <c r="BY69" s="96"/>
      <c r="BZ69" s="96"/>
      <c r="CA69" s="96"/>
      <c r="CB69" s="96"/>
      <c r="CC69" s="96"/>
      <c r="CD69" s="96"/>
      <c r="CE69" s="96"/>
      <c r="CF69" s="96"/>
      <c r="CG69" s="96"/>
      <c r="CH69" s="96"/>
      <c r="CI69" s="96"/>
      <c r="CJ69" s="96"/>
      <c r="CK69" s="96"/>
      <c r="CL69" s="96"/>
      <c r="CM69" s="96"/>
      <c r="CN69" s="96"/>
      <c r="CO69" s="96"/>
      <c r="CP69" s="96"/>
      <c r="CQ69" s="96"/>
      <c r="CR69" s="96"/>
      <c r="CS69" s="96"/>
      <c r="CT69" s="96"/>
      <c r="CU69" s="96"/>
      <c r="CV69" s="96"/>
      <c r="CW69" s="96"/>
      <c r="CX69" s="96"/>
    </row>
    <row r="70" spans="1:102" s="77" customFormat="1">
      <c r="C70" s="74"/>
      <c r="D70" s="75"/>
      <c r="E70" s="76"/>
      <c r="F70" s="76"/>
      <c r="G70" s="76"/>
      <c r="H70" s="76"/>
      <c r="I70" s="75"/>
      <c r="J70" s="75"/>
      <c r="K70" s="95"/>
      <c r="L70" s="76"/>
      <c r="M70" s="76"/>
      <c r="N70" s="76"/>
      <c r="O70" s="76"/>
      <c r="P70" s="76"/>
      <c r="Q70" s="76"/>
      <c r="R70" s="76"/>
      <c r="S70" s="76"/>
      <c r="T70" s="7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96"/>
      <c r="BJ70" s="96"/>
      <c r="BK70" s="96"/>
      <c r="BL70" s="96"/>
      <c r="BM70" s="96"/>
      <c r="BN70" s="96"/>
      <c r="BO70" s="96"/>
      <c r="BP70" s="96"/>
      <c r="BQ70" s="96"/>
      <c r="BR70" s="96"/>
      <c r="BS70" s="96"/>
      <c r="BT70" s="96"/>
      <c r="BU70" s="96"/>
      <c r="BV70" s="96"/>
      <c r="BW70" s="96"/>
      <c r="BX70" s="96"/>
      <c r="BY70" s="96"/>
      <c r="BZ70" s="96"/>
      <c r="CA70" s="96"/>
      <c r="CB70" s="96"/>
      <c r="CC70" s="96"/>
      <c r="CD70" s="96"/>
      <c r="CE70" s="96"/>
      <c r="CF70" s="96"/>
      <c r="CG70" s="96"/>
      <c r="CH70" s="96"/>
      <c r="CI70" s="96"/>
      <c r="CJ70" s="96"/>
      <c r="CK70" s="96"/>
      <c r="CL70" s="96"/>
      <c r="CM70" s="96"/>
      <c r="CN70" s="96"/>
      <c r="CO70" s="96"/>
      <c r="CP70" s="96"/>
      <c r="CQ70" s="96"/>
      <c r="CR70" s="96"/>
      <c r="CS70" s="96"/>
      <c r="CT70" s="96"/>
      <c r="CU70" s="96"/>
      <c r="CV70" s="96"/>
      <c r="CW70" s="96"/>
      <c r="CX70" s="96"/>
    </row>
    <row r="71" spans="1:102" s="77" customFormat="1">
      <c r="A71" s="80"/>
      <c r="C71" s="74"/>
      <c r="D71" s="75"/>
      <c r="E71" s="76"/>
      <c r="F71" s="76"/>
      <c r="G71" s="76"/>
      <c r="H71" s="76"/>
      <c r="I71" s="75"/>
      <c r="J71" s="75"/>
      <c r="K71" s="95"/>
      <c r="L71" s="76"/>
      <c r="M71" s="76"/>
      <c r="N71" s="76"/>
      <c r="O71" s="76"/>
      <c r="P71" s="76"/>
      <c r="Q71" s="76"/>
      <c r="R71" s="76"/>
      <c r="S71" s="76"/>
      <c r="T71" s="7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96"/>
      <c r="BL71" s="96"/>
      <c r="BM71" s="96"/>
      <c r="BN71" s="96"/>
      <c r="BO71" s="96"/>
      <c r="BP71" s="96"/>
      <c r="BQ71" s="96"/>
      <c r="BR71" s="96"/>
      <c r="BS71" s="96"/>
      <c r="BT71" s="96"/>
      <c r="BU71" s="96"/>
      <c r="BV71" s="96"/>
      <c r="BW71" s="96"/>
      <c r="BX71" s="96"/>
      <c r="BY71" s="96"/>
      <c r="BZ71" s="96"/>
      <c r="CA71" s="96"/>
      <c r="CB71" s="96"/>
      <c r="CC71" s="96"/>
      <c r="CD71" s="96"/>
      <c r="CE71" s="96"/>
      <c r="CF71" s="96"/>
      <c r="CG71" s="96"/>
      <c r="CH71" s="96"/>
      <c r="CI71" s="96"/>
      <c r="CJ71" s="96"/>
      <c r="CK71" s="96"/>
      <c r="CL71" s="96"/>
      <c r="CM71" s="96"/>
      <c r="CN71" s="96"/>
      <c r="CO71" s="96"/>
      <c r="CP71" s="96"/>
      <c r="CQ71" s="96"/>
      <c r="CR71" s="96"/>
      <c r="CS71" s="96"/>
      <c r="CT71" s="96"/>
      <c r="CU71" s="96"/>
      <c r="CV71" s="96"/>
      <c r="CW71" s="96"/>
      <c r="CX71" s="96"/>
    </row>
  </sheetData>
  <mergeCells count="22">
    <mergeCell ref="T9:T12"/>
    <mergeCell ref="M10:M12"/>
    <mergeCell ref="N11:N12"/>
    <mergeCell ref="O11:O12"/>
    <mergeCell ref="R11:R12"/>
    <mergeCell ref="M9:P9"/>
    <mergeCell ref="R9:R10"/>
    <mergeCell ref="B3:R3"/>
    <mergeCell ref="B4:R4"/>
    <mergeCell ref="B5:R5"/>
    <mergeCell ref="P11:P12"/>
    <mergeCell ref="G9:G12"/>
    <mergeCell ref="H9:H12"/>
    <mergeCell ref="B6:O6"/>
    <mergeCell ref="B7:M7"/>
    <mergeCell ref="B9:B12"/>
    <mergeCell ref="C9:C12"/>
    <mergeCell ref="D9:D12"/>
    <mergeCell ref="E9:E12"/>
    <mergeCell ref="F9:F12"/>
    <mergeCell ref="I9:I12"/>
    <mergeCell ref="K9:K12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Other charges</vt:lpstr>
      <vt:lpstr>ND</vt:lpstr>
      <vt:lpstr>RV</vt:lpstr>
      <vt:lpstr>Tawang 2</vt:lpstr>
      <vt:lpstr>Tawang</vt:lpstr>
      <vt:lpstr>SF</vt:lpstr>
      <vt:lpstr>Cabins</vt:lpstr>
      <vt:lpstr>MB1</vt:lpstr>
      <vt:lpstr>MB2</vt:lpstr>
      <vt:lpstr>MB3</vt:lpstr>
      <vt:lpstr>MB4</vt:lpstr>
      <vt:lpstr>Manors parking</vt:lpstr>
      <vt:lpstr>Wharton</vt:lpstr>
      <vt:lpstr>Princetn</vt:lpstr>
      <vt:lpstr>Princeton</vt:lpstr>
      <vt:lpstr>Harvard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Sheryl</dc:creator>
  <cp:lastModifiedBy>romankat</cp:lastModifiedBy>
  <cp:lastPrinted>2013-02-16T01:24:29Z</cp:lastPrinted>
  <dcterms:created xsi:type="dcterms:W3CDTF">2012-08-03T06:41:54Z</dcterms:created>
  <dcterms:modified xsi:type="dcterms:W3CDTF">2013-02-16T01:27:36Z</dcterms:modified>
</cp:coreProperties>
</file>